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DieseArbeitsmappe" defaultThemeVersion="166925"/>
  <mc:AlternateContent xmlns:mc="http://schemas.openxmlformats.org/markup-compatibility/2006">
    <mc:Choice Requires="x15">
      <x15ac:absPath xmlns:x15ac="http://schemas.microsoft.com/office/spreadsheetml/2010/11/ac" url="C:\Users\schoettler\sciebo\DH-NRW Geschäftsstellenablage\7 Monitoring\monitoring_2023\dokumente_webseite\"/>
    </mc:Choice>
  </mc:AlternateContent>
  <xr:revisionPtr revIDLastSave="0" documentId="13_ncr:1_{F5A13044-82B1-4F43-A3E9-895A4FA19D5B}" xr6:coauthVersionLast="36" xr6:coauthVersionMax="36" xr10:uidLastSave="{00000000-0000-0000-0000-000000000000}"/>
  <bookViews>
    <workbookView xWindow="0" yWindow="0" windowWidth="20892" windowHeight="5988" xr2:uid="{8A15A3E2-B581-42DC-9135-D7CE89592BBC}"/>
  </bookViews>
  <sheets>
    <sheet name="Fragen_Hochschulleitungen" sheetId="3" r:id="rId1"/>
    <sheet name="digiFellows" sheetId="13" r:id="rId2"/>
    <sheet name="Curriculum" sheetId="14" r:id="rId3"/>
    <sheet name="Listen" sheetId="12" state="hidden"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8" i="3" l="1"/>
  <c r="B173" i="3" l="1"/>
  <c r="D151" i="3"/>
  <c r="D150" i="3"/>
  <c r="D152" i="3" l="1"/>
  <c r="B148" i="3" l="1"/>
  <c r="B147" i="3"/>
  <c r="B145" i="3"/>
  <c r="B135" i="3"/>
  <c r="B128" i="3"/>
  <c r="B122" i="3"/>
  <c r="B121" i="3"/>
  <c r="B110" i="3"/>
  <c r="B109" i="3"/>
  <c r="B108" i="3"/>
  <c r="B107" i="3"/>
  <c r="B106" i="3"/>
  <c r="B105" i="3"/>
  <c r="B94" i="3"/>
  <c r="B93" i="3"/>
  <c r="B92" i="3"/>
  <c r="B91" i="3"/>
  <c r="B90" i="3"/>
  <c r="B83" i="3"/>
  <c r="B55" i="3"/>
  <c r="B54" i="3"/>
  <c r="B82" i="3"/>
  <c r="B57" i="3" l="1"/>
  <c r="B44" i="3"/>
  <c r="B15" i="13"/>
  <c r="B27" i="13"/>
  <c r="B39" i="13"/>
  <c r="B51" i="13"/>
  <c r="B63" i="13"/>
  <c r="B75" i="13"/>
  <c r="B87" i="13"/>
  <c r="B135" i="13"/>
  <c r="B134" i="13"/>
  <c r="B133" i="13"/>
  <c r="B132" i="13"/>
  <c r="B131" i="13"/>
  <c r="B130" i="13"/>
  <c r="B129" i="13"/>
  <c r="B128" i="13"/>
  <c r="B127" i="13"/>
  <c r="B126" i="13"/>
  <c r="B125" i="13"/>
  <c r="B124" i="13"/>
  <c r="B123" i="13"/>
  <c r="B122" i="13"/>
  <c r="B121" i="13"/>
  <c r="B120" i="13"/>
  <c r="B119" i="13"/>
  <c r="B118" i="13"/>
  <c r="B117" i="13"/>
  <c r="B116" i="13"/>
  <c r="B115" i="13"/>
  <c r="B114" i="13"/>
  <c r="B113" i="13"/>
  <c r="B112" i="13"/>
  <c r="B111" i="13"/>
  <c r="B110" i="13"/>
  <c r="B109" i="13"/>
  <c r="B108" i="13"/>
  <c r="B107" i="13"/>
  <c r="B106" i="13"/>
  <c r="B105" i="13"/>
  <c r="B104" i="13"/>
  <c r="B103" i="13"/>
  <c r="B102" i="13"/>
  <c r="B101" i="13"/>
  <c r="B100" i="13"/>
  <c r="B99" i="13"/>
  <c r="B98" i="13"/>
  <c r="B97" i="13"/>
  <c r="B96" i="13"/>
  <c r="B95" i="13"/>
  <c r="B94" i="13"/>
  <c r="B93" i="13"/>
  <c r="B92" i="13"/>
  <c r="B91" i="13"/>
  <c r="B90" i="13"/>
  <c r="B89" i="13"/>
  <c r="B88" i="13"/>
  <c r="B137" i="13"/>
  <c r="B136" i="13"/>
  <c r="B138" i="13"/>
  <c r="B139" i="13"/>
  <c r="B140" i="13"/>
  <c r="B141" i="13"/>
  <c r="B142" i="13"/>
  <c r="B144" i="13"/>
  <c r="B143" i="13"/>
  <c r="B145" i="13"/>
  <c r="B146" i="13"/>
  <c r="B147" i="13"/>
  <c r="B80" i="13"/>
  <c r="B86" i="13"/>
  <c r="B85" i="13"/>
  <c r="B84" i="13"/>
  <c r="B83" i="13"/>
  <c r="B82" i="13"/>
  <c r="B81" i="13"/>
  <c r="B79" i="13"/>
  <c r="B78" i="13"/>
  <c r="B77" i="13"/>
  <c r="B76" i="13"/>
  <c r="B74" i="13"/>
  <c r="B73" i="13"/>
  <c r="B72" i="13"/>
  <c r="B71" i="13"/>
  <c r="B70" i="13"/>
  <c r="B69" i="13"/>
  <c r="B68" i="13"/>
  <c r="B67" i="13"/>
  <c r="B66" i="13"/>
  <c r="B65" i="13"/>
  <c r="B64" i="13"/>
  <c r="B62" i="13"/>
  <c r="B61" i="13"/>
  <c r="B60" i="13"/>
  <c r="B59" i="13"/>
  <c r="B58" i="13"/>
  <c r="B57" i="13"/>
  <c r="B56" i="13"/>
  <c r="B55" i="13"/>
  <c r="B54" i="13"/>
  <c r="B53" i="13"/>
  <c r="B52" i="13"/>
  <c r="B50" i="13"/>
  <c r="B49" i="13"/>
  <c r="B48" i="13"/>
  <c r="B47" i="13"/>
  <c r="B46" i="13"/>
  <c r="B45" i="13"/>
  <c r="B44" i="13"/>
  <c r="B43" i="13"/>
  <c r="B42" i="13"/>
  <c r="B41" i="13"/>
  <c r="B40" i="13"/>
  <c r="B38" i="13"/>
  <c r="B37" i="13"/>
  <c r="B36" i="13"/>
  <c r="B35" i="13"/>
  <c r="B34" i="13"/>
  <c r="B33" i="13"/>
  <c r="B32" i="13"/>
  <c r="B31" i="13"/>
  <c r="B30" i="13"/>
  <c r="B29" i="13"/>
  <c r="B28" i="13"/>
  <c r="B26" i="13"/>
  <c r="B25" i="13"/>
  <c r="B24" i="13"/>
  <c r="B23" i="13"/>
  <c r="B22" i="13"/>
  <c r="B21" i="13"/>
  <c r="B20" i="13"/>
  <c r="B19" i="13"/>
  <c r="B18" i="13"/>
  <c r="B17" i="13"/>
  <c r="B16" i="13"/>
  <c r="B14" i="13"/>
  <c r="B13" i="13"/>
  <c r="B12" i="13"/>
  <c r="B11" i="13"/>
  <c r="B10" i="13"/>
  <c r="B9" i="13"/>
  <c r="B8" i="13"/>
  <c r="B7" i="13"/>
  <c r="B6" i="13"/>
  <c r="B5" i="13"/>
  <c r="B4" i="13"/>
  <c r="B30" i="3" l="1"/>
  <c r="B198" i="3" l="1"/>
  <c r="B197" i="3"/>
  <c r="B196" i="3"/>
  <c r="B195" i="3"/>
  <c r="B184" i="3"/>
  <c r="B183" i="3"/>
  <c r="B182" i="3"/>
  <c r="B95" i="3"/>
  <c r="B141" i="3" l="1"/>
  <c r="B140" i="3"/>
  <c r="B139" i="3"/>
  <c r="B138" i="3"/>
  <c r="B137" i="3"/>
  <c r="B142" i="3"/>
  <c r="B136" i="3"/>
  <c r="B132" i="3"/>
  <c r="B131" i="3"/>
  <c r="B130" i="3"/>
  <c r="B129" i="3"/>
  <c r="B127" i="3"/>
  <c r="B123" i="3"/>
  <c r="B120" i="3"/>
  <c r="B119" i="3"/>
  <c r="B118" i="3"/>
  <c r="B117" i="3"/>
  <c r="B116" i="3"/>
  <c r="B115" i="3"/>
  <c r="B114" i="3"/>
  <c r="B113" i="3"/>
  <c r="B104" i="3"/>
  <c r="B103" i="3"/>
  <c r="B102" i="3"/>
  <c r="B101" i="3"/>
  <c r="B89" i="3"/>
  <c r="B88" i="3"/>
  <c r="B87" i="3"/>
  <c r="B86" i="3"/>
  <c r="B85" i="3"/>
  <c r="B84" i="3"/>
  <c r="B199" i="3" l="1"/>
  <c r="B193" i="3"/>
  <c r="B192" i="3"/>
  <c r="B191" i="3"/>
  <c r="B190" i="3"/>
  <c r="B189" i="3"/>
  <c r="B194" i="3"/>
  <c r="B188" i="3"/>
  <c r="B171" i="3" l="1"/>
  <c r="B172" i="3"/>
  <c r="B170" i="3"/>
  <c r="B169" i="3"/>
  <c r="B168" i="3"/>
  <c r="B51" i="3"/>
  <c r="B56" i="3"/>
  <c r="B53" i="3"/>
  <c r="B52" i="3"/>
  <c r="B29" i="3"/>
  <c r="B35" i="3" l="1"/>
  <c r="B34" i="3"/>
  <c r="B33" i="3"/>
  <c r="B32" i="3"/>
  <c r="B31" i="3"/>
  <c r="B28" i="3"/>
  <c r="B27" i="3"/>
  <c r="B26" i="3"/>
  <c r="B21" i="3"/>
  <c r="B20" i="3"/>
  <c r="B19" i="3"/>
  <c r="B18" i="3"/>
  <c r="B16" i="3"/>
  <c r="B99" i="14" l="1"/>
  <c r="B87" i="14"/>
  <c r="B75" i="14"/>
  <c r="B63" i="14"/>
  <c r="B51" i="14"/>
  <c r="B39" i="14"/>
  <c r="B27" i="14"/>
  <c r="B15" i="14"/>
  <c r="B70" i="3"/>
  <c r="B99" i="3" l="1"/>
  <c r="B62" i="3"/>
  <c r="D223" i="3" l="1"/>
  <c r="B98" i="14" l="1"/>
  <c r="B97" i="14"/>
  <c r="B96" i="14"/>
  <c r="B95" i="14"/>
  <c r="B94" i="14"/>
  <c r="B93" i="14"/>
  <c r="B92" i="14"/>
  <c r="B91" i="14"/>
  <c r="B90" i="14"/>
  <c r="B89" i="14"/>
  <c r="B88" i="14"/>
  <c r="B86" i="14"/>
  <c r="B85" i="14"/>
  <c r="B84" i="14"/>
  <c r="B83" i="14"/>
  <c r="B82" i="14"/>
  <c r="B81" i="14"/>
  <c r="B80" i="14"/>
  <c r="B79" i="14"/>
  <c r="B78" i="14"/>
  <c r="B77" i="14"/>
  <c r="B76" i="14"/>
  <c r="B74" i="14"/>
  <c r="B73" i="14"/>
  <c r="B72" i="14"/>
  <c r="B71" i="14"/>
  <c r="B70" i="14"/>
  <c r="B69" i="14"/>
  <c r="B68" i="14"/>
  <c r="B67" i="14"/>
  <c r="B66" i="14"/>
  <c r="B65" i="14"/>
  <c r="B64" i="14"/>
  <c r="B62" i="14"/>
  <c r="B61" i="14"/>
  <c r="B60" i="14"/>
  <c r="B59" i="14"/>
  <c r="B58" i="14"/>
  <c r="B57" i="14"/>
  <c r="B56" i="14"/>
  <c r="B55" i="14"/>
  <c r="B54" i="14"/>
  <c r="B53" i="14"/>
  <c r="B52" i="14"/>
  <c r="B50" i="14"/>
  <c r="B49" i="14"/>
  <c r="B48" i="14"/>
  <c r="B47" i="14"/>
  <c r="B46" i="14"/>
  <c r="B45" i="14"/>
  <c r="B44" i="14"/>
  <c r="B43" i="14"/>
  <c r="B42" i="14"/>
  <c r="B41" i="14"/>
  <c r="B40" i="14"/>
  <c r="B38" i="14"/>
  <c r="B37" i="14"/>
  <c r="B36" i="14"/>
  <c r="B35" i="14"/>
  <c r="B34" i="14"/>
  <c r="B33" i="14"/>
  <c r="B32" i="14"/>
  <c r="B31" i="14"/>
  <c r="B30" i="14"/>
  <c r="B29" i="14"/>
  <c r="B28" i="14"/>
  <c r="B26" i="14"/>
  <c r="B25" i="14"/>
  <c r="B24" i="14"/>
  <c r="B23" i="14"/>
  <c r="B22" i="14"/>
  <c r="B21" i="14"/>
  <c r="B20" i="14"/>
  <c r="B19" i="14"/>
  <c r="B18" i="14"/>
  <c r="B17" i="14"/>
  <c r="B16" i="14"/>
  <c r="B14" i="14"/>
  <c r="B13" i="14"/>
  <c r="B12" i="14"/>
  <c r="B11" i="14"/>
  <c r="B10" i="14"/>
  <c r="B9" i="14"/>
  <c r="B8" i="14"/>
  <c r="B7" i="14"/>
  <c r="B6" i="14"/>
  <c r="B5" i="14"/>
  <c r="B4" i="14"/>
  <c r="D3" i="14"/>
  <c r="D3" i="13"/>
  <c r="D206" i="3" l="1"/>
  <c r="B61" i="3"/>
  <c r="B60" i="3"/>
  <c r="B59" i="3"/>
  <c r="B58" i="3"/>
  <c r="B50" i="3"/>
  <c r="B25" i="3"/>
  <c r="B100" i="3" l="1"/>
  <c r="B111" i="3" l="1"/>
  <c r="B15" i="3" l="1"/>
  <c r="B13" i="3"/>
  <c r="B163" i="3" l="1"/>
  <c r="D155" i="3"/>
  <c r="B260" i="3" l="1"/>
  <c r="B259" i="3"/>
  <c r="D207" i="3" l="1"/>
  <c r="B185" i="3"/>
  <c r="B181" i="3"/>
  <c r="B180" i="3"/>
  <c r="B179" i="3"/>
  <c r="B178" i="3"/>
  <c r="B177" i="3"/>
  <c r="B14" i="3" l="1"/>
  <c r="B257" i="3" l="1"/>
  <c r="B261" i="3"/>
  <c r="B258" i="3"/>
  <c r="B239" i="3"/>
  <c r="B186" i="3"/>
  <c r="B176" i="3"/>
  <c r="B175" i="3"/>
  <c r="B174" i="3"/>
  <c r="B63" i="3"/>
  <c r="B36" i="3"/>
  <c r="D205" i="3" l="1"/>
  <c r="B37" i="3"/>
  <c r="B12" i="3"/>
  <c r="B11" i="3"/>
</calcChain>
</file>

<file path=xl/sharedStrings.xml><?xml version="1.0" encoding="utf-8"?>
<sst xmlns="http://schemas.openxmlformats.org/spreadsheetml/2006/main" count="1002" uniqueCount="842">
  <si>
    <t>1.</t>
  </si>
  <si>
    <t>1.1</t>
  </si>
  <si>
    <t>1.2</t>
  </si>
  <si>
    <t>1.3</t>
  </si>
  <si>
    <t>1.4</t>
  </si>
  <si>
    <t>1.5</t>
  </si>
  <si>
    <t>2.</t>
  </si>
  <si>
    <t>2.1</t>
  </si>
  <si>
    <t>2.2</t>
  </si>
  <si>
    <t>2.3</t>
  </si>
  <si>
    <t>3.</t>
  </si>
  <si>
    <t>3.1</t>
  </si>
  <si>
    <t>3.2</t>
  </si>
  <si>
    <t>3.3</t>
  </si>
  <si>
    <t>3.4</t>
  </si>
  <si>
    <t>3.5</t>
  </si>
  <si>
    <t>3.6</t>
  </si>
  <si>
    <t>3.7</t>
  </si>
  <si>
    <t>3.8</t>
  </si>
  <si>
    <t>4.</t>
  </si>
  <si>
    <t>4.1</t>
  </si>
  <si>
    <t>4.2</t>
  </si>
  <si>
    <t>4.3</t>
  </si>
  <si>
    <t>4.4</t>
  </si>
  <si>
    <t>5.</t>
  </si>
  <si>
    <t>5.1</t>
  </si>
  <si>
    <t>5.2</t>
  </si>
  <si>
    <t>5.3</t>
  </si>
  <si>
    <t>5.4</t>
  </si>
  <si>
    <t>6.</t>
  </si>
  <si>
    <t>6.1</t>
  </si>
  <si>
    <t>6.2</t>
  </si>
  <si>
    <t>6.3</t>
  </si>
  <si>
    <t>6.4</t>
  </si>
  <si>
    <t>Kommunikation</t>
  </si>
  <si>
    <t>Gibt es an Ihrer Hochschule eine Person, die zuständig ist für die hochschulinterne Koordination der Maßnahmen aus der Vereinbarung zur Digitalisierung (VzD)?</t>
  </si>
  <si>
    <t>Zu den digiFellows</t>
  </si>
  <si>
    <t>Zu curriculum 4.0</t>
  </si>
  <si>
    <t>Wurde die Beratung und Unterstützung der Fächer bei der curricularen Integration von Angeboten des Landesportals ORCA.NRW bereits aufgenommen?</t>
  </si>
  <si>
    <t>Wurden bereits Wünsche und Verbesserungsvorschläge seitens Lehrender und Studierender zu den Angeboten des Landesportals ORCA.NRW erhoben?</t>
  </si>
  <si>
    <t>Kommunikation und Unterstützungsmaßnahmen</t>
  </si>
  <si>
    <t>Welche weiteren Informationen oder auch Unterstützungsmaßnahmen (seitens der DH.NRW-Geschäftsstelle bzw. anderer DH.NRW-Projekte) wünschen Sie sich?</t>
  </si>
  <si>
    <t>Allgemeine Angaben zum Zuweisungsempfänger</t>
  </si>
  <si>
    <t>Bitte geben Sie den Namen und die E-Mail-Adresse der Person an, die für Rückfragen zur Verfügung steht.</t>
  </si>
  <si>
    <t>ORCA-Netzwerk</t>
  </si>
  <si>
    <t>2.4</t>
  </si>
  <si>
    <t>5.5</t>
  </si>
  <si>
    <t>2.5</t>
  </si>
  <si>
    <t>Bitte geben Sie die Ansprechperson für die Förderlinie an Ihrer Hochschule an:</t>
  </si>
  <si>
    <t>E-Mail-Adresse der Ansprechperson</t>
  </si>
  <si>
    <t>Auswertungshinweise</t>
  </si>
  <si>
    <t>2.6</t>
  </si>
  <si>
    <t>Antworten werden nachträglich kategorisiert</t>
  </si>
  <si>
    <t>nachträgliche Kategorisierung</t>
  </si>
  <si>
    <t>3.10</t>
  </si>
  <si>
    <t>3.11</t>
  </si>
  <si>
    <t>3.12</t>
  </si>
  <si>
    <t>3.13</t>
  </si>
  <si>
    <t>3.14</t>
  </si>
  <si>
    <t>3.15</t>
  </si>
  <si>
    <t>3.16</t>
  </si>
  <si>
    <t>3.17</t>
  </si>
  <si>
    <t>3.18</t>
  </si>
  <si>
    <t>3.19</t>
  </si>
  <si>
    <t>3.20</t>
  </si>
  <si>
    <t>3.21</t>
  </si>
  <si>
    <t>3.22</t>
  </si>
  <si>
    <t>3.23</t>
  </si>
  <si>
    <t>3.9</t>
  </si>
  <si>
    <t>Online-Verfahren zur Vergabe der Praktikumsplätze (PVP.nrw)</t>
  </si>
  <si>
    <t>ILIAS.nrw</t>
  </si>
  <si>
    <t>E-Personalakte.nrw</t>
  </si>
  <si>
    <t>FDMScouts.nrw</t>
  </si>
  <si>
    <t>E-Vertragsmanagement.nrw</t>
  </si>
  <si>
    <t>Koordinierungsinstanz Digitale Unterstützungsprozesse (KDU.nrw)</t>
  </si>
  <si>
    <t>Datensicherung.nrw</t>
  </si>
  <si>
    <t>Kompetenzzentrum E-Akte.nrw</t>
  </si>
  <si>
    <t>HD@DH.nrw</t>
  </si>
  <si>
    <t>E-Studierendenakte.nrw</t>
  </si>
  <si>
    <t>educast.nrw</t>
  </si>
  <si>
    <t>moodle.nrw</t>
  </si>
  <si>
    <t>E-Drittmittelakte.nrw</t>
  </si>
  <si>
    <t>Open Resources Campus NRW (ORCA.nrw)</t>
  </si>
  <si>
    <t>IT-Sourcing der Kunst- und Musikhochschulen</t>
  </si>
  <si>
    <t>Bergische Universität Wuppertal</t>
  </si>
  <si>
    <t>Fachhochschule Dortmund</t>
  </si>
  <si>
    <t>Fachhochschule Münster</t>
  </si>
  <si>
    <t>Hochschule Bochum</t>
  </si>
  <si>
    <t>Hochschule Bonn-Rhein-Sieg</t>
  </si>
  <si>
    <t>Hochschule Rhein-Waal</t>
  </si>
  <si>
    <t>Rheinische Friedrich-Wilhelms-Universität Bonn</t>
  </si>
  <si>
    <t>Ruhr-Universität Bochum</t>
  </si>
  <si>
    <t>RWTH Aachen</t>
  </si>
  <si>
    <t>Technische Hochschule Köln</t>
  </si>
  <si>
    <t>Technische Hochschule Ostwestfalen-Lippe</t>
  </si>
  <si>
    <t>Universität Bielefeld</t>
  </si>
  <si>
    <t>Universität Siegen</t>
  </si>
  <si>
    <t>Universität zu Köln</t>
  </si>
  <si>
    <t>Westfälische Wilhelms-Universität Münster</t>
  </si>
  <si>
    <t>Folkwang Universität der Künste</t>
  </si>
  <si>
    <t>Hochschule für Musik Detmold</t>
  </si>
  <si>
    <t>Hochschule für Musik und Tanz Köln</t>
  </si>
  <si>
    <t>Kunstakademie Düsseldorf</t>
  </si>
  <si>
    <t>Kunstakademie Münster</t>
  </si>
  <si>
    <t>Kunsthochschule für Medien Köln</t>
  </si>
  <si>
    <t>Robert-Schumann-Hochschule Düsseldorf</t>
  </si>
  <si>
    <t>Deutsche Sporthochschule Köln</t>
  </si>
  <si>
    <t>Fachhochschule Aachen</t>
  </si>
  <si>
    <t>Fachhochschule Bielefeld</t>
  </si>
  <si>
    <t>Fachhochschule Südwestfalen</t>
  </si>
  <si>
    <t>FernUniversität in Hagen</t>
  </si>
  <si>
    <t>Heinrich-Heine-Universität Düsseldorf</t>
  </si>
  <si>
    <t>Hochschule Düsseldorf</t>
  </si>
  <si>
    <t>Hochschule für Gesundheit Bochum</t>
  </si>
  <si>
    <t>Hochschule Hamm-Lippstadt</t>
  </si>
  <si>
    <t>Hochschule Niederrhein</t>
  </si>
  <si>
    <t>Hochschule Ruhr West</t>
  </si>
  <si>
    <t>Technische Universität Dortmund</t>
  </si>
  <si>
    <t>Universität Duisburg-Essen</t>
  </si>
  <si>
    <t>Universität Paderborn</t>
  </si>
  <si>
    <t>Westfälische Hochschule Gelsenkirchen</t>
  </si>
  <si>
    <t>Durchschnittswert, Min/Max und Standardabweichung (für alle Ausschreibungsrunden zusammen)</t>
  </si>
  <si>
    <t>Berechnung der durchschnittlichen Dauer des Einstellungsverfahrens</t>
  </si>
  <si>
    <t>min/max, Mittelwert</t>
  </si>
  <si>
    <t>Hochschulen</t>
  </si>
  <si>
    <t>Projekte</t>
  </si>
  <si>
    <t>• Newsletter der Geschäftsstelle</t>
  </si>
  <si>
    <t xml:space="preserve">• Webseite der Geschäftsstelle </t>
  </si>
  <si>
    <t>Nachname</t>
  </si>
  <si>
    <t>Vorname</t>
  </si>
  <si>
    <t>E-Mail</t>
  </si>
  <si>
    <t>2.7</t>
  </si>
  <si>
    <t>2.8</t>
  </si>
  <si>
    <t>2.9</t>
  </si>
  <si>
    <t>2.10</t>
  </si>
  <si>
    <t>2.11</t>
  </si>
  <si>
    <t>2.12</t>
  </si>
  <si>
    <t>2.13</t>
  </si>
  <si>
    <t>2.14</t>
  </si>
  <si>
    <t>2.15</t>
  </si>
  <si>
    <t>2.16</t>
  </si>
  <si>
    <t>2.17</t>
  </si>
  <si>
    <t>2.18</t>
  </si>
  <si>
    <t>2.19</t>
  </si>
  <si>
    <t>2.20</t>
  </si>
  <si>
    <t>2.21</t>
  </si>
  <si>
    <t>2.22</t>
  </si>
  <si>
    <t>2.23</t>
  </si>
  <si>
    <t>5.6</t>
  </si>
  <si>
    <t>5.7</t>
  </si>
  <si>
    <t>5.8</t>
  </si>
  <si>
    <t>5.9</t>
  </si>
  <si>
    <t>5.10</t>
  </si>
  <si>
    <t>5.11</t>
  </si>
  <si>
    <t>5.12</t>
  </si>
  <si>
    <t>5.13</t>
  </si>
  <si>
    <t>5.14</t>
  </si>
  <si>
    <t>5.15</t>
  </si>
  <si>
    <t>5.16</t>
  </si>
  <si>
    <t>5.17</t>
  </si>
  <si>
    <t>5.18</t>
  </si>
  <si>
    <t>5.19</t>
  </si>
  <si>
    <t>5.20</t>
  </si>
  <si>
    <t>5.21</t>
  </si>
  <si>
    <t>5.22</t>
  </si>
  <si>
    <t>5.23</t>
  </si>
  <si>
    <t>5.24</t>
  </si>
  <si>
    <t>5.25</t>
  </si>
  <si>
    <t>5.26</t>
  </si>
  <si>
    <t>2.24</t>
  </si>
  <si>
    <t>Entscheidungen</t>
  </si>
  <si>
    <t>ja</t>
  </si>
  <si>
    <t>nein</t>
  </si>
  <si>
    <t>Allgemeine Anmerkungen zu den digiFellows an Ihrer Hochschule:</t>
  </si>
  <si>
    <t>3.24</t>
  </si>
  <si>
    <t>Allgemeine Anmerkungen zum Auswahlverfahren oder der Projektdurchführung der curriculum 4.0-Projekte an Ihrer Hochschule:</t>
  </si>
  <si>
    <t>Allgemeine Anmerkungen zu den ORCA-Netzwerkstellen:</t>
  </si>
  <si>
    <t>Antworten</t>
  </si>
  <si>
    <t>Entscheidungen (erweitert)</t>
  </si>
  <si>
    <t>Die Durchführung unseres Projekts ist unabhängig von den (Zwischen-)Ergebnissen anderer Projekte.</t>
  </si>
  <si>
    <t>Bedingungen und Ausfüllhilfe</t>
  </si>
  <si>
    <t>relative Häufigkeit</t>
  </si>
  <si>
    <r>
      <t xml:space="preserve">Bitte wählen Sie </t>
    </r>
    <r>
      <rPr>
        <b/>
        <sz val="11"/>
        <color theme="1"/>
        <rFont val="Calibri"/>
        <family val="2"/>
        <scheme val="minor"/>
      </rPr>
      <t>Ihre Hochschule</t>
    </r>
    <r>
      <rPr>
        <sz val="11"/>
        <color theme="1"/>
        <rFont val="Calibri"/>
        <family val="2"/>
        <scheme val="minor"/>
      </rPr>
      <t xml:space="preserve"> aus.</t>
    </r>
  </si>
  <si>
    <t>Ausschreibungen</t>
  </si>
  <si>
    <t>Fragen</t>
  </si>
  <si>
    <t>Ich bin nicht der/die Inhaber/in der Stelle und kann die Frage daher nicht beantworten.</t>
  </si>
  <si>
    <t xml:space="preserve">Hier ist Raum für Ihre Anmerkungen zu Aspekten des Themenblocks, die durch die Fragen in diesem Abschnitt nicht abgedeckt werden, z.B. weitergehende Erläuterungen. </t>
  </si>
  <si>
    <t>Bitte wählen Sie Ihre Hochschule aus der Liste (dropdown) aus.</t>
  </si>
  <si>
    <t>Es geht um eine Person, die etwaige Rückfragen zum ausgefüllten Fragebogen beantworten kann.</t>
  </si>
  <si>
    <t>Bedingte Frage ist nur zu beantworten, wenn "ja" bei Frage 2.1 angegeben.</t>
  </si>
  <si>
    <t>Bitte geben Sie die Ansprechperson für das DigiFellow-Programm an Ihrer Hochschule an:</t>
  </si>
  <si>
    <t>Bedingte Frage ist nur zu beantworten, wenn "ja" bei Frage 2.1 oder "ja" bei Frage 2.2 angegeben.</t>
  </si>
  <si>
    <t>Bedingte Frage ist nur zu beantworten, wenn "nein" bei Frage 3.1 angegeben.</t>
  </si>
  <si>
    <t>Bedingte Frage ist nur zu beantworten, wenn "ja" bei Frage 3.1 angegeben.</t>
  </si>
  <si>
    <t>Bedingte Frage ist nur zu beantworten, wenn "ja" bei Frage 3.1 oder "ja" bei Frage 3.2 angegeben.</t>
  </si>
  <si>
    <t>Bedingte Frage ist nur zu beantworten, wenn "nein" bei Frage 5.1 angegeben.</t>
  </si>
  <si>
    <t>Bedingte Frage ist nur zu beantworten, wenn "ja" bei Frage 5.1 angegeben.</t>
  </si>
  <si>
    <t>Die Frage zielt darauf ab, ob die Stelle bisher überhaupt schon einmal besetzt war, auch wenn die Stelle womöglich aktuell wieder vakant sein sollte.</t>
  </si>
  <si>
    <t>Bedingte Frage ist nur zu beantworten, wenn "ja" bei Frage 5.4 angegeben. Geben Sie als Antwort bitte eine natürliche Zahl an.</t>
  </si>
  <si>
    <t>Bedingte Frage ist nur zu beantworten, wenn "ja" bei Frage 5.4 angegeben.</t>
  </si>
  <si>
    <t>Bedingte Frage ist nur zu beantworten, wenn "ja" bei Frage 5.10 angegeben.</t>
  </si>
  <si>
    <t>Bitte geben Sie in den folgenden Zeilen den Namen und die E-Mail-Adresse der Ansprechperson an.</t>
  </si>
  <si>
    <t>Die Währung muss nicht eigens angegeben werden.</t>
  </si>
  <si>
    <t xml:space="preserve">Die Geschäftsstelle wird Ihre Anregungen, soweit möglich, in ihrer weiteren Planung berücksichtigen. </t>
  </si>
  <si>
    <t>eImmat.nrw</t>
  </si>
  <si>
    <t>Bedingte Frage ist nur zu beantworten, wenn "ja" bei Frage 5.1 angegeben. Bitte geben Sie Datum in dieser Form an: TT.MM.JJJJ</t>
  </si>
  <si>
    <t>Die Angabe der Kontaktdaten setzt das Einverständnis voraus, dass die Geschäftsstelle der DH.NRW die betreffende Person kontaktieren darf, um sie über die Aktivitäten der Digitalen Hochschule zu informieren.</t>
  </si>
  <si>
    <t>https://www.dh.nrw/fileadmin/user_upload/dh-nrw/pdf_word_Dokumente/2021.12.02_Zustimmung_DigiFellow.pdf</t>
  </si>
  <si>
    <t>https://www.dh.nrw/fileadmin/user_upload/dh-nrw/pdf_word_Dokumente/2021.12.02_Zustimmung_Curriculum_4.0.pdf</t>
  </si>
  <si>
    <t>2.25</t>
  </si>
  <si>
    <t>2.26</t>
  </si>
  <si>
    <t>2.27</t>
  </si>
  <si>
    <t>2.28</t>
  </si>
  <si>
    <t>2.29</t>
  </si>
  <si>
    <t>2.30</t>
  </si>
  <si>
    <t>2.31</t>
  </si>
  <si>
    <t>3.25</t>
  </si>
  <si>
    <t>3.26</t>
  </si>
  <si>
    <t>3.27</t>
  </si>
  <si>
    <t>3.28</t>
  </si>
  <si>
    <t>3.29</t>
  </si>
  <si>
    <t>3.30</t>
  </si>
  <si>
    <t>3.31</t>
  </si>
  <si>
    <t>Zuordnung Ausschreibungen</t>
  </si>
  <si>
    <t>Der Link kann aus dem Antwortfeld rauskopiert werden.
Wenn die digiFellows das Dokument bereits an die Geschäftsstelle gesendet haben, ist eine erneute Zusendung nicht erforderlich.</t>
  </si>
  <si>
    <t>Der Link kann aus dem Antwortfeld rauskopiert werden. Wenn die Projektleitungen das Dokument bereits an die Geschäftsstelle gesendet haben, ist eine erneute Zusendung nicht erforderlich.</t>
  </si>
  <si>
    <t>Gemeint ist die Beratung der Lehrenden oder auch ganzer Fachbereiche bezüglich der Integration in die Lehre.</t>
  </si>
  <si>
    <t>Die Frage zielt auf eine Person mit kommunikativer Schnittstellenfunktion zwischen Ihrer Hochschule und der DH.NRW ab -- also eine Person, welche die Anfragen oder Informationen der DH.NRW an die relevanten Ansprechpersonen in Ihrer Hochschule weiterleiten kann.</t>
  </si>
  <si>
    <t>Gemeint ist die Person, die mit der Koordination der internen Ausschreibungen bzw. des Auswahlverfahrens betraut ist und auskunftsfähig für Rückfragen ist. Name und E-Mail-Adresse der Ansprechperson sind in den folgenden Zeilen einzutragen.</t>
  </si>
  <si>
    <t>Nachname der Ansprechperson</t>
  </si>
  <si>
    <t>Vorname der Ansprechperson</t>
  </si>
  <si>
    <t>ggf. Titel der Ansprechperson</t>
  </si>
  <si>
    <t>Die DH.NRW möchte auch weiterhin die ausgewählten Projekte der digiFellows auf ihrer Webseite präsentieren. Dafür benötigt die Geschäftsstelle der DH.NRW Informationen zu den Projekten sowie das Einverständnis der Projektleitungen. Bitte leiten Sie den folgenden Link an die digiFellows weiter, mit der Bitte, den verlinkten Fragebogen auszufüllen und per E-Mail an die Geschäftsstelle der DH.NRW (geschaeftsstelle@dh.nrw) zusenden. Den Fragebogen können Sie mittels des Links im Antwortfeld herunterladen.</t>
  </si>
  <si>
    <t>2.32</t>
  </si>
  <si>
    <t>2.33</t>
  </si>
  <si>
    <t>2.34</t>
  </si>
  <si>
    <t>2.35</t>
  </si>
  <si>
    <t>2.36</t>
  </si>
  <si>
    <t>2.37</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</si>
  <si>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</si>
  <si>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</si>
  <si>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</si>
  <si>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</si>
  <si>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</si>
  <si>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</si>
  <si>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</si>
  <si>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</si>
  <si>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</si>
  <si>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</si>
  <si>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</si>
  <si>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</si>
  <si>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</si>
  <si>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</si>
  <si>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</si>
  <si>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</si>
  <si>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</si>
  <si>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</si>
  <si>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</si>
  <si>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</si>
  <si>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</si>
  <si>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</si>
  <si>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</si>
  <si>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Bedingte Frage ist nur zu beantworten, wenn "1", "2", "3"oder "4" bei Frage 3.4 angegeben.</t>
  </si>
  <si>
    <t>Bedingte Frage ist nur zu beantworten, wenn "4" bei Frage 3.4 angegeben.</t>
  </si>
  <si>
    <t>Bedingte Frage ist nur zu beantworten, wenn "3"oder "4" bei Frage 3.4 angegeben.</t>
  </si>
  <si>
    <t>Bedingte Frage ist nur zu beantworten, wenn "2", "3"oder "4" bei Frage 3.4 angegeben.</t>
  </si>
  <si>
    <t>3.11.1</t>
  </si>
  <si>
    <t>3.11.2</t>
  </si>
  <si>
    <t>3.11.3</t>
  </si>
  <si>
    <t>3.11.4</t>
  </si>
  <si>
    <t>3.13.1</t>
  </si>
  <si>
    <t>3.13.2</t>
  </si>
  <si>
    <t>3.13.3</t>
  </si>
  <si>
    <t>3.13.4</t>
  </si>
  <si>
    <t>Bedingte Frage ist nur zu beantworten, wenn bei Frage 3.12 "1", "2", "3", "4", "5", "6", "7"  oder "8" angegeben wurde. Bei der Förderlinie Curriculum 4.0 ist pro Jahr die Auswahl eines Projekts vorgesehen.</t>
  </si>
  <si>
    <t>Bedingte Frage ist nur zu beantworten, wenn bei Frage 3.12 "1", "2", "3", "4", "5", "6", "7"  oder "8" angegeben wurde.</t>
  </si>
  <si>
    <t xml:space="preserve">Bedingte Frage ist nur zu beantworten, wenn bei 3.12 Ihre  Antwort "1", "2", "3", "4", "5", "6", "7" oder "8" lautet. Bitte geben Sie kein Semester als Projektbeginn an, sondern einen Tag nach dem folgenden Schema: TT.MM.JJJJ. Wenn im Antrag nicht anders angegeben, ist jeweils der erste Tag des Monats anzugegeben.  </t>
  </si>
  <si>
    <t xml:space="preserve">Bedingte Frage ist nur zu beantworten, wenn bei 3.12 Ihre  Antwort "1", "2", "3", "4", "5", "6", "7" oder "8" lautet. Bitte geben Sie kein Semester als Projektende an, sondern einen Tag nach dem folgenden Schema: TT.MM.JJJJ. Wenn im Antrag nicht anders angegeben, ist jeweils der letzte Tag des Monats anzugegeben.  </t>
  </si>
  <si>
    <t>Bedingte Frage ist nur zu beantworten, wenn bei Frage 3.12 "1", "2", "3", "4", "5", "6", "7"  oder "8" angegeben wurde. Bitte geben Sie in den folgenden Feldern den Namen und die E-Mail-Adresse der Projektleitung an.</t>
  </si>
  <si>
    <t>Bedingte Frage ist nur zu beantworten, wenn bei Frage 3.12 "2", "3", "4", "5", "6", "7"  oder "8" angegeben wurde. Bei der Förderlinie Curriculum 4.0 ist pro Jahr die Auswahl eines Projekts vorgesehen.</t>
  </si>
  <si>
    <t>Bedingte Frage ist nur zu beantworten, wenn bei Frage 3.12 "2", "3", "4", "5", "6", "7"  oder "8" angegeben wurde. Bitte geben Sie in den folgenden Feldern den Namen und die E-Mail-Adresse der Projektleitung an.</t>
  </si>
  <si>
    <t>Bedingte Frage ist nur zu beantworten, wenn bei Frage 3.12 "2", "3", "4", "5", "6", "7"  oder "8" angegeben wurde.</t>
  </si>
  <si>
    <t xml:space="preserve">Bedingte Frage ist nur zu beantworten, wenn bei 3.12 Ihre  Antwort "2", "3", "4", "5", "6", "7" oder "8" lautet. Bitte geben Sie kein Semester als Projektbeginn an, sondern einen Tag nach dem folgenden Schema: TT.MM.JJJJ. Wenn im Antrag nicht anders angegeben, ist jeweils der erste Tag des Monats anzugegeben.  </t>
  </si>
  <si>
    <t xml:space="preserve">Bedingte Frage ist nur zu beantworten, wenn bei 3.12 Ihre  Antwort "2", "3", "4", "5", "6", "7" oder "8" lautet. Bitte geben Sie kein Semester als Projektende an, sondern einen Tag nach dem folgenden Schema: TT.MM.JJJJ. Wenn im Antrag nicht anders angegeben, ist jeweils der letzte Tag des Monats anzugegeben.  </t>
  </si>
  <si>
    <t>Bedingte Frage ist nur zu beantworten, wenn bei Frage 3.12 "3", "4", "5", "6", "7"  oder "8" angegeben wurde. Bei der Förderlinie Curriculum 4.0 ist pro Jahr die Auswahl eines Projekts vorgesehen.</t>
  </si>
  <si>
    <t>Bedingte Frage ist nur zu beantworten, wenn bei Frage 3.12 "3", "4", "5", "6", "7"  oder "8" angegeben wurde. Bitte geben Sie in den folgenden Feldern den Namen und die E-Mail-Adresse der Projektleitung an.</t>
  </si>
  <si>
    <t>Bedingte Frage ist nur zu beantworten, wenn bei Frage 3.12 "3", "4", "5", "6", "7"  oder "8" angegeben wurde.</t>
  </si>
  <si>
    <t xml:space="preserve">Bedingte Frage ist nur zu beantworten, wenn bei 3.12 Ihre  Antwort "3", "4", "5", "6", "7" oder "8" lautet. Bitte geben Sie kein Semester als Projektbeginn an, sondern einen Tag nach dem folgenden Schema: TT.MM.JJJJ. Wenn im Antrag nicht anders angegeben, ist jeweils der erste Tag des Monats anzugegeben.  </t>
  </si>
  <si>
    <t xml:space="preserve">Bedingte Frage ist nur zu beantworten, wenn bei 3.12 Ihre  Antwort "3", "4", "5", "6", "7" oder "8" lautet. Bitte geben Sie kein Semester als Projektende an, sondern einen Tag nach dem folgenden Schema: TT.MM.JJJJ. Wenn im Antrag nicht anders angegeben, ist jeweils der letzte Tag des Monats anzugegeben.  </t>
  </si>
  <si>
    <t>Bedingte Frage ist nur zu beantworten, wenn bei Frage 3.12 "4", "5", "6", "7"  oder "8" angegeben wurde. Bei der Förderlinie Curriculum 4.0 ist pro Jahr die Auswahl eines Projekts vorgesehen.</t>
  </si>
  <si>
    <t>Bedingte Frage ist nur zu beantworten, wenn bei Frage 3.12 "4", "5", "6", "7"  oder "8" angegeben wurde. Bitte geben Sie in den folgenden Feldern den Namen und die E-Mail-Adresse der Projektleitung an.</t>
  </si>
  <si>
    <t>Bedingte Frage ist nur zu beantworten, wenn bei Frage 3.12 "4", "5", "6", "7"  oder "8" angegeben wurde.</t>
  </si>
  <si>
    <t xml:space="preserve">Bedingte Frage ist nur zu beantworten, wenn bei 3.12 Ihre  Antwort "4", "5", "6", "7" oder "8" lautet. Bitte geben Sie kein Semester als Projektbeginn an, sondern einen Tag nach dem folgenden Schema: TT.MM.JJJJ. Wenn im Antrag nicht anders angegeben, ist jeweils der erste Tag des Monats anzugegeben.  </t>
  </si>
  <si>
    <t xml:space="preserve">Bedingte Frage ist nur zu beantworten, wenn bei 3.12 Ihre  Antwort "4", "5", "6", "7" oder "8" lautet. Bitte geben Sie kein Semester als Projektende an, sondern einen Tag nach dem folgenden Schema: TT.MM.JJJJ. Wenn im Antrag nicht anders angegeben, ist jeweils der letzte Tag des Monats anzugegeben.  </t>
  </si>
  <si>
    <t>3.32</t>
  </si>
  <si>
    <t>3.33</t>
  </si>
  <si>
    <t>3.34</t>
  </si>
  <si>
    <t>3.35</t>
  </si>
  <si>
    <t>3.36</t>
  </si>
  <si>
    <t>Bedingte Frage ist nur zu beantworten, wenn bei Frage 3.12 "5", "6", "7"  oder "8" angegeben wurde. Bei der Förderlinie Curriculum 4.0 ist pro Jahr die Auswahl eines Projekts vorgesehen.</t>
  </si>
  <si>
    <t>Bedingte Frage ist nur zu beantworten, wenn bei Frage 3.12 "5", "6", "7"  oder "8" angegeben wurde. Bitte geben Sie in den folgenden Feldern den Namen und die E-Mail-Adresse der Projektleitung an.</t>
  </si>
  <si>
    <t>Bedingte Frage ist nur zu beantworten, wenn bei Frage 3.12 "5", "6", "7"  oder "8" angegeben wurde.</t>
  </si>
  <si>
    <t xml:space="preserve">Bedingte Frage ist nur zu beantworten, wenn bei 3.12 Ihre  Antwort "5", "6", "7" oder "8" lautet. Bitte geben Sie kein Semester als Projektbeginn an, sondern einen Tag nach dem folgenden Schema: TT.MM.JJJJ. Wenn im Antrag nicht anders angegeben, ist jeweils der erste Tag des Monats anzugegeben.  </t>
  </si>
  <si>
    <t xml:space="preserve">Bedingte Frage ist nur zu beantworten, wenn bei 3.12 Ihre  Antwort "5", "6", "7" oder "8" lautet. Bitte geben Sie kein Semester als Projektende an, sondern einen Tag nach dem folgenden Schema: TT.MM.JJJJ. Wenn im Antrag nicht anders angegeben, ist jeweils der letzte Tag des Monats anzugegeben.  </t>
  </si>
  <si>
    <t>3.37</t>
  </si>
  <si>
    <t>3.38</t>
  </si>
  <si>
    <t>3.39</t>
  </si>
  <si>
    <t>3.40</t>
  </si>
  <si>
    <t>3.41</t>
  </si>
  <si>
    <t>Bedingte Frage ist nur zu beantworten, wenn bei Frage 3.12 "6", "7"  oder "8" angegeben wurde. Bei der Förderlinie Curriculum 4.0 ist pro Jahr die Auswahl eines Projekts vorgesehen.</t>
  </si>
  <si>
    <t>Bedingte Frage ist nur zu beantworten, wenn bei Frage 3.12 "6", "7"  oder "8" angegeben wurde. Bitte geben Sie in den folgenden Feldern den Namen und die E-Mail-Adresse der Projektleitung an.</t>
  </si>
  <si>
    <t>Bedingte Frage ist nur zu beantworten, wenn bei Frage 3.12 "6", "7"  oder "8" angegeben wurde.</t>
  </si>
  <si>
    <t xml:space="preserve">Bedingte Frage ist nur zu beantworten, wenn bei 3.12 Ihre  Antwort "6", "7" oder "8" lautet. Bitte geben Sie kein Semester als Projektbeginn an, sondern einen Tag nach dem folgenden Schema: TT.MM.JJJJ. Wenn im Antrag nicht anders angegeben, ist jeweils der erste Tag des Monats anzugegeben.  </t>
  </si>
  <si>
    <t xml:space="preserve">Bedingte Frage ist nur zu beantworten, wenn bei 3.12 Ihre  Antwort "6", "7" oder "8" lautet. Bitte geben Sie kein Semester als Projektende an, sondern einen Tag nach dem folgenden Schema: TT.MM.JJJJ. Wenn im Antrag nicht anders angegeben, ist jeweils der letzte Tag des Monats anzugegeben.  </t>
  </si>
  <si>
    <t>3.42</t>
  </si>
  <si>
    <t>3.43</t>
  </si>
  <si>
    <t>3.44</t>
  </si>
  <si>
    <t>3.45</t>
  </si>
  <si>
    <t>3.46</t>
  </si>
  <si>
    <t>Bedingte Frage ist nur zu beantworten, wenn bei Frage 3.12 "7"  oder "8" angegeben wurde. Bei der Förderlinie Curriculum 4.0 ist pro Jahr die Auswahl eines Projekts vorgesehen.</t>
  </si>
  <si>
    <t>Bedingte Frage ist nur zu beantworten, wenn bei Frage 3.12 "7"  oder "8" angegeben wurde. Bitte geben Sie in den folgenden Feldern den Namen und die E-Mail-Adresse der Projektleitung an.</t>
  </si>
  <si>
    <t>Bedingte Frage ist nur zu beantworten, wenn bei Frage 3.12 "7"  oder "8" angegeben wurde.</t>
  </si>
  <si>
    <t xml:space="preserve">Bedingte Frage ist nur zu beantworten, wenn bei 3.12 Ihre  Antwort "7" oder "8" lautet. Bitte geben Sie kein Semester als Projektbeginn an, sondern einen Tag nach dem folgenden Schema: TT.MM.JJJJ. Wenn im Antrag nicht anders angegeben, ist jeweils der erste Tag des Monats anzugegeben.  </t>
  </si>
  <si>
    <t xml:space="preserve">Bedingte Frage ist nur zu beantworten, wenn bei 3.12 Ihre  Antwort "7" oder "8" lautet. Bitte geben Sie kein Semester als Projektende an, sondern einen Tag nach dem folgenden Schema: TT.MM.JJJJ. Wenn im Antrag nicht anders angegeben, ist jeweils der letzte Tag des Monats anzugegeben.  </t>
  </si>
  <si>
    <t>3.47</t>
  </si>
  <si>
    <t>3.48</t>
  </si>
  <si>
    <t>3.49</t>
  </si>
  <si>
    <t>3.50</t>
  </si>
  <si>
    <t>3.51</t>
  </si>
  <si>
    <t>3.52</t>
  </si>
  <si>
    <t>Bedingte Frage ist nur zu beantworten, wenn bei Frage 3.12 "8" angegeben wurde. Bei der Förderlinie Curriculum 4.0 ist pro Jahr die Auswahl eines Projekts vorgesehen.</t>
  </si>
  <si>
    <t>Bedingte Frage ist nur zu beantworten, wenn bei Frage 3.12 "8" angegeben wurde. Bitte geben Sie in den folgenden Feldern den Namen und die E-Mail-Adresse der Projektleitung an.</t>
  </si>
  <si>
    <t>Bedingte Frage ist nur zu beantworten, wenn bei Frage 3.12 "8" angegeben wurde.</t>
  </si>
  <si>
    <t xml:space="preserve">Bedingte Frage ist nur zu beantworten, wenn bei 3.12 Ihre  Antwort "8" lautet. Bitte geben Sie kein Semester als Projektbeginn an, sondern einen Tag nach dem folgenden Schema: TT.MM.JJJJ. Wenn im Antrag nicht anders angegeben, ist jeweils der erste Tag des Monats anzugegeben.  </t>
  </si>
  <si>
    <t xml:space="preserve">Bedingte Frage ist nur zu beantworten, wenn bei 3.12 Ihre  Antwort "8" lautet. Bitte geben Sie kein Semester als Projektende an, sondern einen Tag nach dem folgenden Schema: TT.MM.JJJJ. Wenn im Antrag nicht anders angegeben, ist jeweils der letzte Tag des Monats anzugegeben.  </t>
  </si>
  <si>
    <t>3.53</t>
  </si>
  <si>
    <t>3.54</t>
  </si>
  <si>
    <t>3.55</t>
  </si>
  <si>
    <t>3.56</t>
  </si>
  <si>
    <t>3.57</t>
  </si>
  <si>
    <t>3.58</t>
  </si>
  <si>
    <t>3.59</t>
  </si>
  <si>
    <t>2.38</t>
  </si>
  <si>
    <t>3.55.1</t>
  </si>
  <si>
    <t>3.55.2</t>
  </si>
  <si>
    <t>3.55.3</t>
  </si>
  <si>
    <t>3.55.4</t>
  </si>
  <si>
    <t>3.60</t>
  </si>
  <si>
    <t>3.61</t>
  </si>
  <si>
    <t>Bedingte Frage ist nur zu beantworten, wenn "ja" bei Frage 5.7 angegeben. Bitte wählen Sie die zutreffende(n) Antwortoption(en) aus (Mehrfachauswahl möglich) und/oder gegeben Sie weitere Gründe in dem Freitextfeld an.</t>
  </si>
  <si>
    <t>5.8.1</t>
  </si>
  <si>
    <t>5.8.2</t>
  </si>
  <si>
    <t>5.8.3</t>
  </si>
  <si>
    <t>5.8.4</t>
  </si>
  <si>
    <t>5.8.5</t>
  </si>
  <si>
    <t>5.8.6</t>
  </si>
  <si>
    <t>Übernimmt aktuell eine Person an Ihrer Hochschule die mit der Stelle verbundenen Aufgaben (Stelleninhaber*in oder kommissarische Übernahme der Aufgaben)?</t>
  </si>
  <si>
    <t>5.11.1</t>
  </si>
  <si>
    <t>5.11.2</t>
  </si>
  <si>
    <t>5.11.3</t>
  </si>
  <si>
    <t>5.11.4</t>
  </si>
  <si>
    <t>Wer ist die Ansprechperson für die Netzwerkstellen Landesportal für Studium und Lehre an Ihrer Hochschule? (also nicht der/die Stelleninhaber*in, sondern i.d.R. der/die Vorgesetzte)</t>
  </si>
  <si>
    <t>5.13.1</t>
  </si>
  <si>
    <t>5.13.2</t>
  </si>
  <si>
    <t>5.13.3</t>
  </si>
  <si>
    <t>5.13.4</t>
  </si>
  <si>
    <t>spätere Stellenbesetzung</t>
  </si>
  <si>
    <t>keine Stellenbesetzung</t>
  </si>
  <si>
    <t>niedrigere Eingruppierung der Stelle</t>
  </si>
  <si>
    <t>Teilzeitstelle (statt Vollzeitstelle)</t>
  </si>
  <si>
    <t>Buchungsverzögerungen</t>
  </si>
  <si>
    <t>andere Gründe (Bitte nutzen Sie das Freitextfeld.)</t>
  </si>
  <si>
    <t>Bitte wählen Sie aus den folgenden Antwortoptionen aus (Mehrfachauswahl möglich) und/oder nutzen das Freitextfeld zur Angabe von Gründen, die in den vorgegebenen Optionen nicht enthalten sind.</t>
  </si>
  <si>
    <t>Bietet die Netzwerkstelle an Ihrer Hochschule eine Beratung zu OER im Allgemeinen an?</t>
  </si>
  <si>
    <t>Bietet die Netzwerkstelle an Ihrer Hochschule eine Beratung zu OER-nahen Förderungen an (z.B. Begleitung der Antragsausarbeitung)?</t>
  </si>
  <si>
    <t>Koordiniert die Netzwerkstelle an Ihrer Hochschule die hochschulinterne Ausschreibung und/oder Auswahl der digiFellows oder ist an dieser Koordination beteiligt?</t>
  </si>
  <si>
    <t>Koordiniert die Netzwerkstelle an Ihrer Hochschule die hochschulinterne Ausschreibung und/oder Auswahl der Curriculum 4.0-Projekte oder ist an dieser Koordination beteiligt?</t>
  </si>
  <si>
    <t>5.16.1</t>
  </si>
  <si>
    <t>5.16.2</t>
  </si>
  <si>
    <t>5.16.3</t>
  </si>
  <si>
    <t>5.16.4</t>
  </si>
  <si>
    <t>5.16.5</t>
  </si>
  <si>
    <t>5.16.6</t>
  </si>
  <si>
    <t>Bedingte Frage ist nur zu beantworten, wenn "ja" bei Frage 5.22 angegeben.</t>
  </si>
  <si>
    <t>Die Minderausgaben werden aus den Werten aus 5.17 und 5.18 berechnet. Mehrausgaben werden als negative Zahlen dargestellt.</t>
  </si>
  <si>
    <t>Die Berechnung erfolgt aus den bei 5.14 und 5.17 eingegebenen Werten.</t>
  </si>
  <si>
    <t>Die Berechnung erfolgt aus den bei 5.15 und 5.18 eingegebenen Werten.</t>
  </si>
  <si>
    <t>Die Berechnung erfolgt aus den bei 5.14, 5.15, 5.17 und 5.18 eingegebenen Daten.</t>
  </si>
  <si>
    <t>Welche Kommunikationskanäle nutzen Sie, um sich über die Vorhaben und Maßnahmen der Digitalen Hochschule zu informieren? Bitte bewerten Sie die Komunikationskanäle danach, wie hilfreich Sie den jeweiligen Kanal (wie er derzeit genutzt wird) finden.</t>
  </si>
  <si>
    <t>Bewertungen</t>
  </si>
  <si>
    <t>sehr hilfreich</t>
  </si>
  <si>
    <t>hilfreich</t>
  </si>
  <si>
    <t>wenig hilfreich</t>
  </si>
  <si>
    <t>nicht hilfreich</t>
  </si>
  <si>
    <t>Diesen Kanal bzw. dieses Format nutze ich nicht.</t>
  </si>
  <si>
    <t>• Veranstaltungen (z.B. Tagungen, Workshops)</t>
  </si>
  <si>
    <t>Was könnte Ihres Erachtens bei den Kommunikationskanälen noch verbessert werden? Bitte beschreiben Sie Ihren Verbesserungsvorschlag und geben dabei an, auf welchen der obigen Kommunikationskanäle sich Ihr Vorschlag bezieht.</t>
  </si>
  <si>
    <t>Welche Themen bzw. Kommunikationsinhalte vermissen Sie in der DH.NRW-internen Kommunikation bzw. welche Themen sollten in Zukunft verstärkt kommuniziert werden?</t>
  </si>
  <si>
    <t>Wünschen Sie sich, dass die DH.NRW in Zukunft verstärkt bestimmte Veranstaltungsformate durchführt (z.B. Kurzvorstellungen der laufenden Projekte, Vernetzungsformate, Thementage, Workshops)? Bitte skizzieren Sie das gewünschte Format und die gewünschten Themen/Inhalte.</t>
  </si>
  <si>
    <t xml:space="preserve">Wie kann die DH.NRW die hochschulübergreifende Zusammenarbeit innerhalb der DH.NRW-Projekte besser unterstützen? Diese Frage zielt zum einen auf Formen der kommunikativen Unterstützung ab, zum anderen aber auch auf digitale Werkzeuge (z.B. hochschulübergreifende Plattformen). </t>
  </si>
  <si>
    <t>6.5</t>
  </si>
  <si>
    <t>6.6</t>
  </si>
  <si>
    <t>6.7</t>
  </si>
  <si>
    <t>Bedingte Frage ist nur zu beantworten, wenn "ja" bei Frage 6.7 angegeben.</t>
  </si>
  <si>
    <t>6.8</t>
  </si>
  <si>
    <t>6.8.1</t>
  </si>
  <si>
    <t>6.8.2</t>
  </si>
  <si>
    <t>6.8.3</t>
  </si>
  <si>
    <t>6.8.4</t>
  </si>
  <si>
    <t>Online-Bewerbung, -Zulassung und -Einschreibung</t>
  </si>
  <si>
    <t xml:space="preserve">Die „Vereinbarung zur Umsetzung der Online-Bewerbung, -Zulassung und -Einschreibung“ (§ 3) sieht vor, dass deren Umsetzung auch im Rahmen des Monitorings der Digitalen Hochschule NRW überprüft wird. Die folgenden Fragen erfassen daher den Projektumsetzungsstand, Personalstand und Finanzstand. </t>
  </si>
  <si>
    <t>4.5</t>
  </si>
  <si>
    <t>4.6</t>
  </si>
  <si>
    <t>4.7</t>
  </si>
  <si>
    <t>4.8</t>
  </si>
  <si>
    <t>4.9</t>
  </si>
  <si>
    <t>4.10</t>
  </si>
  <si>
    <t>4.11</t>
  </si>
  <si>
    <t>4.12</t>
  </si>
  <si>
    <t>4.13</t>
  </si>
  <si>
    <t>4.14</t>
  </si>
  <si>
    <t>4.15</t>
  </si>
  <si>
    <t>4.16</t>
  </si>
  <si>
    <t>4.17</t>
  </si>
  <si>
    <t>4.18</t>
  </si>
  <si>
    <t>4.19</t>
  </si>
  <si>
    <t>4.20</t>
  </si>
  <si>
    <t>4.21</t>
  </si>
  <si>
    <t>4.22</t>
  </si>
  <si>
    <t>Allgemeine Anmerkungen zur Umsetzung der  „Vereinbarung zur Umsetzung der Online-Bewerbung, -Zulassung und -Einschreibung“ an Ihrer Hochschule:</t>
  </si>
  <si>
    <t>ggf. Titel</t>
  </si>
  <si>
    <t>1.2.1</t>
  </si>
  <si>
    <t>1.2.2</t>
  </si>
  <si>
    <t>1.2.3</t>
  </si>
  <si>
    <t>1.2.4</t>
  </si>
  <si>
    <t>1.5.1</t>
  </si>
  <si>
    <t>1.5.2</t>
  </si>
  <si>
    <t>1.5.3</t>
  </si>
  <si>
    <t>1.5.4</t>
  </si>
  <si>
    <t>Bedingte Frage ist nur zu beantworten, wenn "ja" bei Frage 1.3 angegeben.</t>
  </si>
  <si>
    <t>Bedingte Frage ist nur zu beantworten, wenn "nein" bei Frage 1.4 angegeben.</t>
  </si>
  <si>
    <t>2.62</t>
  </si>
  <si>
    <t>2.63</t>
  </si>
  <si>
    <t>2.64</t>
  </si>
  <si>
    <t>2.65</t>
  </si>
  <si>
    <t>2.66</t>
  </si>
  <si>
    <t>2.67</t>
  </si>
  <si>
    <t>2.68</t>
  </si>
  <si>
    <t>2.69</t>
  </si>
  <si>
    <t>3.20.1</t>
  </si>
  <si>
    <t>3.20.2</t>
  </si>
  <si>
    <t>3.20.3</t>
  </si>
  <si>
    <t>3.20.4</t>
  </si>
  <si>
    <t>3.27.1</t>
  </si>
  <si>
    <t>3.27.2</t>
  </si>
  <si>
    <t>3.27.3</t>
  </si>
  <si>
    <t>3.27.4</t>
  </si>
  <si>
    <t>3.34.1</t>
  </si>
  <si>
    <t>3.34.2</t>
  </si>
  <si>
    <t>3.34.3</t>
  </si>
  <si>
    <t>3.34.4</t>
  </si>
  <si>
    <t>3.41.1</t>
  </si>
  <si>
    <t>3.41.2</t>
  </si>
  <si>
    <t>3.41.3</t>
  </si>
  <si>
    <t>3.41.4</t>
  </si>
  <si>
    <t>3.48.1</t>
  </si>
  <si>
    <t>3.48.2</t>
  </si>
  <si>
    <t>3.48.3</t>
  </si>
  <si>
    <t>3.48.4</t>
  </si>
  <si>
    <t>3.62</t>
  </si>
  <si>
    <t>3.62.1</t>
  </si>
  <si>
    <t>3.62.2</t>
  </si>
  <si>
    <t>3.62.3</t>
  </si>
  <si>
    <t>3.62.4</t>
  </si>
  <si>
    <t>3.63</t>
  </si>
  <si>
    <t>3.64</t>
  </si>
  <si>
    <t>3.65</t>
  </si>
  <si>
    <t>3.67</t>
  </si>
  <si>
    <t>3.68</t>
  </si>
  <si>
    <t>3.69</t>
  </si>
  <si>
    <t>Die DH.NRW möchte gerne die in der Förderlinie currciulum 4.0.nrw ausgewählten Projekte auf ihrer Webseite präsentieren. Dafür benötigt die Geschäftsstelle der DH.NRW Informationen zu den Projekten sowie das Einverständnis der Projektleitungen. Bitte leiten Sie den folgenden Link an die digiFellows weiter, mit der Bitte, den verlinkten Fragebogen auszufüllen und per E-Mail an die Geschäftsstelle der DH.NRW (geschaeftsstelle@dh.nrw) zusenden. Den Fragebogen können Sie mittels des Links im Antwortfeld herunterladen.</t>
  </si>
  <si>
    <t>Die Mehr- oder Minderausgaben werden aus den Werten aus 5.14 und 5.15 berechnet. Mehrausgaben werden als negative Zahlen dargestellt.</t>
  </si>
  <si>
    <t>4.23</t>
  </si>
  <si>
    <t>4.24</t>
  </si>
  <si>
    <t>4.25</t>
  </si>
  <si>
    <t>• Ablage der Geschäftsstelle in ILIAS</t>
  </si>
  <si>
    <t>Bedingte Frage ist nur zu beantworten, wenn "nein" bei Frage 2.1 angegeben.</t>
  </si>
  <si>
    <r>
      <t xml:space="preserve">Die folgenden Fragen beziehen sich ausschließlich auf die Förderung im Rahmen der </t>
    </r>
    <r>
      <rPr>
        <b/>
        <sz val="11"/>
        <color rgb="FFAC145A"/>
        <rFont val="Calibri"/>
        <family val="2"/>
        <scheme val="minor"/>
      </rPr>
      <t>„Vereinbarung zur Umsetzung der Online-Bewerbung, -Zulassung und -Einschreibung“</t>
    </r>
    <r>
      <rPr>
        <sz val="11"/>
        <color theme="1" tint="0.499984740745262"/>
        <rFont val="Calibri"/>
        <family val="2"/>
        <scheme val="minor"/>
      </rPr>
      <t xml:space="preserve"> und </t>
    </r>
    <r>
      <rPr>
        <b/>
        <sz val="11"/>
        <color rgb="FFAC145A"/>
        <rFont val="Calibri"/>
        <family val="2"/>
        <scheme val="minor"/>
      </rPr>
      <t>nicht</t>
    </r>
    <r>
      <rPr>
        <sz val="11"/>
        <color theme="1" tint="0.499984740745262"/>
        <rFont val="Calibri"/>
        <family val="2"/>
        <scheme val="minor"/>
      </rPr>
      <t xml:space="preserve"> auf die Förderung der Online- Bewerbung und -Immatrikulation im Rahmen der "Vereinbarung zur Digitalisierung von 2020 (VzD, §7 (3); Förderkennzeichen: 214 - 5.01.03.02 - 151492).</t>
    </r>
  </si>
  <si>
    <t>Die Frage zielt auf Voraussetzungen ab, von denen die Gestaltung der Prozesse an Ihrer Hochschule abhängig ist, die aber jenseits der Kontrolle Ihrer Hochschule liegen und zum jetzigen Zeitpunkt noch nicht erfüllt sind.</t>
  </si>
  <si>
    <t>Diesen Kanal bzw. dieses Format kannte ich bisher noch nicht.</t>
  </si>
  <si>
    <t>digiFellows</t>
  </si>
  <si>
    <t>Bedingungen &amp; Ausfüllhilfe</t>
  </si>
  <si>
    <t>Entsprechend der von Ihnen angegebenen Anzahl von digiFellows werden Fragen zu den Projektdaten eingeblendet.</t>
  </si>
  <si>
    <t>Sie haben an Ihrer Hochschule diese Anzahl an digiFellow-Projekten ausgewählt:</t>
  </si>
  <si>
    <t>Curriculum 4.0</t>
  </si>
  <si>
    <t>Sie haben an Ihrer Hochschule diese Anzahl an Curriculum 4.0-Projekten ausgewählt:</t>
  </si>
  <si>
    <t>Die Fragen 3.13 bis 3.68 finden sich auf dem Tabellenblatt "Curriculum".</t>
  </si>
  <si>
    <t>Es sind in dem Tabellenblatt "Curriculum" alle in den Ausschreibungsrunden ab 2020 ausgewählten Projekte anzugeben, auch wenn diese bereits in vorherigen Monitoring-Runden angegeben wurden.</t>
  </si>
  <si>
    <t>• Welche weiteren Kommunikationskanäle oder Informationsquellen nutzen Sie, um über Vorhaben und Maßnahmen der Digitalen Hochschule NRW zu informieren?</t>
  </si>
  <si>
    <t>Es sind in dem Tabellenblatt "digiFellows" alle in den Ausschreibungsrunden ab 2020 ausgewählten Projekte anzugeben, auch wenn diese bereits in vorherigen Monitoring-Runden angegeben wurden.</t>
  </si>
  <si>
    <t>Bitte beachten Sie: 
Die Tabelle enthält einige bedingte Fragen, die nur eingeblendet werden, wenn bei vorherigen Fragen die entsprechenden Antwortoptionen ausgewählt wurden. Entsprechend werden in einigen Zeilen keine Fragen angezeigt. Bei allen eingeblendeten Fragen handelt es sich um Pflichtfragen. Die einzigen Ausnahmen sind die Felder für allgemeine Anmerkungen am Ende eines jeden Fragenblocks.</t>
  </si>
  <si>
    <t>Wie viel Prozent der zugewiesenen Mittel sind bis zum Stichtag 31.12.2022 verausgabt worden?</t>
  </si>
  <si>
    <t xml:space="preserve">Bitte geben Sie in diesem Tabellenblatt die Daten aller digiFellow-Projekte an, die an Ihrer Hochschule ab 2020 bis zum Stichtag 31.12.2022 ausgewählt wurden. Es sind auch die Projekte anzugeben, die bereits in vorherigen Monitoring-Runden angegeben wurden. </t>
  </si>
  <si>
    <t xml:space="preserve">Bitte geben Sie in diesem Tabellenblatt die Daten aller Curriculum 4.0-Projekte an, die an Ihrer Hochschule ab 2020 bis zum Stichtag 31.12.2022 ausgewählt wurden. Es sind auch die Projekte anzugeben, die bereits in vorherigen Monitoring-Runden angegeben wurden. </t>
  </si>
  <si>
    <t>1.6</t>
  </si>
  <si>
    <t>Möchten Sie eine weitere Ansprechperson angeben?</t>
  </si>
  <si>
    <t>1.6.1</t>
  </si>
  <si>
    <t>1.6.2</t>
  </si>
  <si>
    <t>1.6.3</t>
  </si>
  <si>
    <t>1.6.4</t>
  </si>
  <si>
    <t>Bedingte Frage ist nur zu beantworten, wenn "nein" bei Frage 2.1 und "nein" bei Frage 2.2 angegeben. Bitte wählen Sie eine oder mehrere der Antwortoptionen und/oder geben andere Gründe im Freitextfeld (2.3.3) an.</t>
  </si>
  <si>
    <t>2.3.1</t>
  </si>
  <si>
    <t>2.3.3</t>
  </si>
  <si>
    <t>2.3.2</t>
  </si>
  <si>
    <t>2.12.1</t>
  </si>
  <si>
    <t>2.12.2</t>
  </si>
  <si>
    <t>2.12.3</t>
  </si>
  <si>
    <t>2.12.4</t>
  </si>
  <si>
    <t>2.70</t>
  </si>
  <si>
    <t>2.14.1</t>
  </si>
  <si>
    <t>2.14.2</t>
  </si>
  <si>
    <t>2.14.3</t>
  </si>
  <si>
    <t>2.14.4</t>
  </si>
  <si>
    <t>2.21.1</t>
  </si>
  <si>
    <t>2.21.2</t>
  </si>
  <si>
    <t>2.21.3</t>
  </si>
  <si>
    <t>2.21.4</t>
  </si>
  <si>
    <t>2.28.1</t>
  </si>
  <si>
    <t>2.28.2</t>
  </si>
  <si>
    <t>2.28.3</t>
  </si>
  <si>
    <t>2.28.4</t>
  </si>
  <si>
    <t>2.35.1</t>
  </si>
  <si>
    <t>2.35.2</t>
  </si>
  <si>
    <t>2.35.3</t>
  </si>
  <si>
    <t>2.35.4</t>
  </si>
  <si>
    <t>2.42.1</t>
  </si>
  <si>
    <t>2.42.2</t>
  </si>
  <si>
    <t>2.42.3</t>
  </si>
  <si>
    <t>2.42.4</t>
  </si>
  <si>
    <t>2.49.1</t>
  </si>
  <si>
    <t>2.49.2</t>
  </si>
  <si>
    <t>2.49.3</t>
  </si>
  <si>
    <t>2.49.4</t>
  </si>
  <si>
    <t>2.56.1</t>
  </si>
  <si>
    <t>2.56.2</t>
  </si>
  <si>
    <t>2.56.3</t>
  </si>
  <si>
    <t>2.56.4</t>
  </si>
  <si>
    <t>2.63.1</t>
  </si>
  <si>
    <t>2.63.2</t>
  </si>
  <si>
    <t>2.63.3</t>
  </si>
  <si>
    <t>2.63.4</t>
  </si>
  <si>
    <t>3.3.1</t>
  </si>
  <si>
    <t>3.3.2</t>
  </si>
  <si>
    <t>3.3.3</t>
  </si>
  <si>
    <t>3.3.4</t>
  </si>
  <si>
    <t>5.2.1</t>
  </si>
  <si>
    <t>5.2.2</t>
  </si>
  <si>
    <t>5.2.3</t>
  </si>
  <si>
    <t>5.8.7</t>
  </si>
  <si>
    <t>5.8.8</t>
  </si>
  <si>
    <t>5.11.5</t>
  </si>
  <si>
    <t>5.12.1</t>
  </si>
  <si>
    <t>5.12.2</t>
  </si>
  <si>
    <t>5.12.3</t>
  </si>
  <si>
    <t>5.12.4</t>
  </si>
  <si>
    <t>5.12.5</t>
  </si>
  <si>
    <t>Bedingte Frage ist nur zu beantworten, wenn "ja" bei Frage 5.12 angegeben.</t>
  </si>
  <si>
    <t>Unterbrechung in der Stellenbesetzung</t>
  </si>
  <si>
    <t>5.16.7</t>
  </si>
  <si>
    <t>tatsächliche Personalkosten höher als Personalkostenpauschale</t>
  </si>
  <si>
    <t>5.16.8</t>
  </si>
  <si>
    <t>Stelle in zwei Stellen aufgeteilt; spätere Besetzung der zweiten Teilstelle</t>
  </si>
  <si>
    <t>5.16.9</t>
  </si>
  <si>
    <t>Stellenantritt mit reduzierter Stundenzahl und spätere Aufstockung</t>
  </si>
  <si>
    <t>5.16.10</t>
  </si>
  <si>
    <t>Bitte geben Sie eine Ansprechperson an Ihrer Hochschule an, welche mit der Koordination der  Umsetzung der Online-Bewerbung, -Zulassung und -Einschreibung betraut ist und/oder zur Umsetzung in Ihrer Hochschule auskunftsfähig ist.</t>
  </si>
  <si>
    <t>4.1.1</t>
  </si>
  <si>
    <t>4.1.2</t>
  </si>
  <si>
    <t>4.1.3</t>
  </si>
  <si>
    <t>4.1.4</t>
  </si>
  <si>
    <r>
      <t xml:space="preserve">Lt.  „Vereinbarung zur Umsetzung der Online-Bewerbung, -Zulassung und -Einschreibung“ soll die </t>
    </r>
    <r>
      <rPr>
        <b/>
        <sz val="11"/>
        <color theme="1"/>
        <rFont val="Calibri"/>
        <family val="2"/>
        <scheme val="minor"/>
      </rPr>
      <t>technische Machbarkeit</t>
    </r>
    <r>
      <rPr>
        <sz val="11"/>
        <color theme="1"/>
        <rFont val="Calibri"/>
        <family val="2"/>
        <scheme val="minor"/>
      </rPr>
      <t xml:space="preserve"> der vollständig medienbruchfreien Online-Bewerbung, -Zulassung und -Einschreibung an den beteiligten Hochschulen bis </t>
    </r>
    <r>
      <rPr>
        <b/>
        <sz val="11"/>
        <color theme="1"/>
        <rFont val="Calibri"/>
        <family val="2"/>
        <scheme val="minor"/>
      </rPr>
      <t>31.12.2022</t>
    </r>
    <r>
      <rPr>
        <sz val="11"/>
        <color theme="1"/>
        <rFont val="Calibri"/>
        <family val="2"/>
        <scheme val="minor"/>
      </rPr>
      <t xml:space="preserve"> gegeben sein. Bitte charakterisieren Sie den Stand der Umsetzung an Ihrer Hochschule anhand der vorgegebenen Kategorien.</t>
    </r>
  </si>
  <si>
    <t>Bedingte Frage ist nur zu beantworten, wenn bei Frage 4.2 die Optionen "Umsetzung begonnen" oder "Umsetzung in Planung" ausgewählt wurde. Geben Sie bitte eine ganze Zahl zum voraussichtlichen Verzug in Monaten an und kein Intervall. Wenn Sie dennoch ein Intervall angeben, wird der Endwert des Intervalls in die Auswertung genommen.</t>
  </si>
  <si>
    <r>
      <t xml:space="preserve">Um die medienbruchfreie Online-Bewerbungs-, Zulassungs- und Einschreibungsprozesses zu ermöglichen, müssen </t>
    </r>
    <r>
      <rPr>
        <b/>
        <i/>
        <sz val="11"/>
        <color theme="1"/>
        <rFont val="Calibri"/>
        <family val="2"/>
        <scheme val="minor"/>
      </rPr>
      <t>innerhalb der Hochschulen</t>
    </r>
    <r>
      <rPr>
        <i/>
        <sz val="11"/>
        <color theme="1"/>
        <rFont val="Calibri"/>
        <family val="2"/>
        <scheme val="minor"/>
      </rPr>
      <t xml:space="preserve"> nicht nur technische, sondern auch </t>
    </r>
    <r>
      <rPr>
        <b/>
        <i/>
        <sz val="11"/>
        <color theme="1"/>
        <rFont val="Calibri"/>
        <family val="2"/>
        <scheme val="minor"/>
      </rPr>
      <t>rechtliche  Voraussetzungen</t>
    </r>
    <r>
      <rPr>
        <i/>
        <sz val="11"/>
        <color theme="1"/>
        <rFont val="Calibri"/>
        <family val="2"/>
        <scheme val="minor"/>
      </rPr>
      <t xml:space="preserve"> erfüllt sein.</t>
    </r>
  </si>
  <si>
    <t>Die Frage zielt auf eine Person mit kommunikativer Schnittstellenfunktion zwischen Ihrer Hochschule und der DH.NRW ab, z.B. für das halbjährliche Monitoring. Es sollten daher die Kontaktdaten einer Person angegeben werden, die entweder auskunftsfähig ist oder die Fragen bzw. Informationen an diejenigen in Ihrer Hochschule weiterleitet, die für das jeweilige Thema verantwortlich ist.</t>
  </si>
  <si>
    <t>Bedingte Frage ist nur zu beantworten, wenn "nein" bei Frage 3.1 und "nein" bei Frage 3.2 angegeben. Bitte wählen Sie aus den Antwortoptionen aus (Mehrfachauswahl möglich) und/oder geben weitere Gründe im Freitextfeld (3.3.4) an.</t>
  </si>
  <si>
    <r>
      <t xml:space="preserve">Beispiele für Ausnahmen wären etwa das Einreichen von Dokumenten in physischer Form oder Aufnahmeprüfungen in Präsenz </t>
    </r>
    <r>
      <rPr>
        <sz val="11"/>
        <color theme="1" tint="0.499984740745262"/>
        <rFont val="Calibri"/>
        <family val="2"/>
      </rPr>
      <t>–</t>
    </r>
    <r>
      <rPr>
        <sz val="11"/>
        <color theme="1" tint="0.499984740745262"/>
        <rFont val="Calibri"/>
        <family val="2"/>
        <scheme val="minor"/>
      </rPr>
      <t xml:space="preserve"> unabhängig davon, ob das alle Studienbewerber*innen oder nur einzelnen Gruppen von Studienbewerber*innen betrifft.</t>
    </r>
  </si>
  <si>
    <r>
      <t xml:space="preserve">Die Fragen zum </t>
    </r>
    <r>
      <rPr>
        <b/>
        <sz val="11"/>
        <color theme="1"/>
        <rFont val="Calibri"/>
        <family val="2"/>
        <scheme val="minor"/>
      </rPr>
      <t>Finanzstand</t>
    </r>
    <r>
      <rPr>
        <sz val="11"/>
        <color theme="1"/>
        <rFont val="Calibri"/>
        <family val="2"/>
        <scheme val="minor"/>
      </rPr>
      <t xml:space="preserve"> beziehen sich ausschließlich auf die Zuweisung und Verausgabung der Mittel, die in der </t>
    </r>
    <r>
      <rPr>
        <b/>
        <sz val="11"/>
        <color theme="1"/>
        <rFont val="Calibri"/>
        <family val="2"/>
        <scheme val="minor"/>
      </rPr>
      <t>„Vereinbarung zur Umsetzung der Online-Bewerbung, -Zulassung und -Einschreibung“</t>
    </r>
    <r>
      <rPr>
        <sz val="11"/>
        <color theme="1"/>
        <rFont val="Calibri"/>
        <family val="2"/>
        <scheme val="minor"/>
      </rPr>
      <t xml:space="preserve"> vorgesehen sind (und nicht auf die Mittel, die 2020 und 2021 im Rahmen der "Vereinbarung zur Digitalisierung" zugewiesen und verausgabt wurden).</t>
    </r>
  </si>
  <si>
    <t>Beauftragung externer Dienstleister (z.B. CampusManagement-Anbieter für die Erstellung von Schnittstellen)</t>
  </si>
  <si>
    <t>Finanzierung von Stellen an Ihrer Hochschule (Hilfskräfte gelten in diesem Zusammenhang nicht als Stellen.)</t>
  </si>
  <si>
    <t>Beschaffung (z.B. Hardware, Lizenzen o.ä.)</t>
  </si>
  <si>
    <t>weitere Maßnahmen (Bitte im Freitextfeld erläutern.)</t>
  </si>
  <si>
    <t xml:space="preserve">Bitte beachten Sie, dass die Frage nur dann mit "ja" zu beantworten ist, wenn sich aktuell zwei Personen die Stelle teilen. </t>
  </si>
  <si>
    <t>In Abgrenzung zur Frage 1.3 zielt diese Frage nicht auf eine Ansprechperson, welche Informationen innerhalb der Verwaltung und der Leitung Ihrer Hochschule weiterleitet, sondern auf eine Person, welche z.B. Förderaufrufe an interessierte Mitarbeitenden aus Forschung und Lehre weiterleitet.</t>
  </si>
  <si>
    <t>Fungiert an Ihrer Hochschule eine Person als Multiplikator*in für die Informationen, Förderaufrufe usw. der Digitalen Hochschule NRW?</t>
  </si>
  <si>
    <t>verausgabte Mittel im Haushaltsjahr 2022 (bis einschließlich 31.12.2022)</t>
  </si>
  <si>
    <t>Bedingte Frage ist nur zu beantworten, wenn "1", "2", "3", "4" oder "5" bei Frage 2.4 ausgewählt.</t>
  </si>
  <si>
    <t>Bedingte Frage ist nur zu beantworten, wenn "2", "3", "4" oder "5" bei Frage 2.4 ausgewählt.</t>
  </si>
  <si>
    <t>Bedingte Frage ist nur zu beantworten, wenn "3", "4" oder "5" bei Frage 2.4 ausgewählt.</t>
  </si>
  <si>
    <t>Bedingte Frage ist nur zu beantworten, wenn "4" oder "5" bei Frage 2.4 ausgewählt.</t>
  </si>
  <si>
    <t>Bedingte Frage ist nur zu beantworten, wenn "5" bei Frage 2.4 ausgewählt.</t>
  </si>
  <si>
    <t>Bedingte Frage ist nur zu beantworten, wenn "ja" bei Frage 1.6 angegeben.</t>
  </si>
  <si>
    <t>Sind die digiFellowships an Ihrer Hochschule bis zum Stichtag 31.12.2023 mindestens einmal intern ausgeschrieben worden?</t>
  </si>
  <si>
    <t>2.70.1</t>
  </si>
  <si>
    <t>2.70.2</t>
  </si>
  <si>
    <t>2.70.3</t>
  </si>
  <si>
    <t>2.70.4</t>
  </si>
  <si>
    <t>2.71</t>
  </si>
  <si>
    <t>2.72</t>
  </si>
  <si>
    <t>2.73</t>
  </si>
  <si>
    <t>2.74</t>
  </si>
  <si>
    <t>2.75</t>
  </si>
  <si>
    <t>2.76</t>
  </si>
  <si>
    <t>2.77</t>
  </si>
  <si>
    <t>2.78</t>
  </si>
  <si>
    <t>2.79</t>
  </si>
  <si>
    <t>2.80</t>
  </si>
  <si>
    <t>2.81</t>
  </si>
  <si>
    <t>2.82</t>
  </si>
  <si>
    <t>2.83</t>
  </si>
  <si>
    <t>2.84</t>
  </si>
  <si>
    <t>2.85</t>
  </si>
  <si>
    <t>2.86</t>
  </si>
  <si>
    <t>2.88</t>
  </si>
  <si>
    <t>2.89</t>
  </si>
  <si>
    <t>2.90</t>
  </si>
  <si>
    <t>2.91</t>
  </si>
  <si>
    <t>2.92</t>
  </si>
  <si>
    <t>2.93</t>
  </si>
  <si>
    <t>2.94</t>
  </si>
  <si>
    <t>2.95</t>
  </si>
  <si>
    <t>2.97</t>
  </si>
  <si>
    <t>2.96</t>
  </si>
  <si>
    <t>Die Fragen 2.14 bis 2.96 finden sich auf dem Tabellenblatt "digiFellows".</t>
  </si>
  <si>
    <t>2.77.1</t>
  </si>
  <si>
    <t>2.77.2</t>
  </si>
  <si>
    <t>2.77.3</t>
  </si>
  <si>
    <t>2.77.4</t>
  </si>
  <si>
    <t>2.84.1</t>
  </si>
  <si>
    <t>2.84.2</t>
  </si>
  <si>
    <t>2.84.3</t>
  </si>
  <si>
    <t>2.84.4</t>
  </si>
  <si>
    <t>2.87</t>
  </si>
  <si>
    <t>2.90.1</t>
  </si>
  <si>
    <t>2.90.2</t>
  </si>
  <si>
    <t>2.90.3</t>
  </si>
  <si>
    <t>2.90.4</t>
  </si>
  <si>
    <t>Wie viele Vorhaben wurden bis zum Stichtag (31.12.2023) an Ihrer Hochschule in der Förderlinie ausgewählt?</t>
  </si>
  <si>
    <t>Ist die Förderlinie Curriculum 4.0 an Ihrer Hochschule bis zum 1.12.2021 intern ausgeschrieben worden?</t>
  </si>
  <si>
    <t>3.3.5</t>
  </si>
  <si>
    <t>Wie viele Vorhaben wurden an Ihrer Hochschule in der Förderlinie ausgewählt?</t>
  </si>
  <si>
    <t>4.5.1</t>
  </si>
  <si>
    <t>4.5.2</t>
  </si>
  <si>
    <t>4.5.3</t>
  </si>
  <si>
    <t>4.5.4</t>
  </si>
  <si>
    <t>4.5.5</t>
  </si>
  <si>
    <t>4.5.6</t>
  </si>
  <si>
    <t>4.5.7</t>
  </si>
  <si>
    <t>4.5.8</t>
  </si>
  <si>
    <t>4.5.9</t>
  </si>
  <si>
    <t>4.5.10</t>
  </si>
  <si>
    <t>4.5.11</t>
  </si>
  <si>
    <r>
      <t xml:space="preserve">Gibt es zum Stichtag </t>
    </r>
    <r>
      <rPr>
        <b/>
        <sz val="11"/>
        <color theme="1"/>
        <rFont val="Calibri"/>
        <family val="2"/>
        <scheme val="minor"/>
      </rPr>
      <t>31.12.2023</t>
    </r>
    <r>
      <rPr>
        <sz val="11"/>
        <color theme="1"/>
        <rFont val="Calibri"/>
        <family val="2"/>
        <scheme val="minor"/>
      </rPr>
      <t xml:space="preserve"> im Rahmen der Online-Bewerbung, -Zulassung oder -Einschreibung an Ihrer Hochschule Ausnahmen von der vollständigen Medienbruchfreiheit?</t>
    </r>
  </si>
  <si>
    <t>Konnten sich an Ihrer Hochschule die Studienbewerber*innen in allen Studiengängen spätestens zum Sommersemester 2023 medienbruchfrei online bewerben und einschreiben?</t>
  </si>
  <si>
    <t>Wurde der vollständige Abschluss des durch die „Vereinbarung zur Umsetzung der Online-Bewerbung, -Zulassung und -Einschreibung“ vereinbarten Vorhabens bis 31.7.2023 an Ihrer Hochschule erreicht?</t>
  </si>
  <si>
    <t>4.9.1</t>
  </si>
  <si>
    <t>4.9.2</t>
  </si>
  <si>
    <t>4.9.3</t>
  </si>
  <si>
    <t>4.9.4</t>
  </si>
  <si>
    <t>4.9.5</t>
  </si>
  <si>
    <t>4.9.6</t>
  </si>
  <si>
    <t>4.9.12</t>
  </si>
  <si>
    <t>4.9.7</t>
  </si>
  <si>
    <t>4.9.8</t>
  </si>
  <si>
    <t>4.9.9</t>
  </si>
  <si>
    <t>4.9.10</t>
  </si>
  <si>
    <t>4.9.11</t>
  </si>
  <si>
    <r>
      <t xml:space="preserve">Sehen Sie grundsätzliche Hindernisse in dem Sinne, dass </t>
    </r>
    <r>
      <rPr>
        <b/>
        <sz val="11"/>
        <color theme="1"/>
        <rFont val="Calibri"/>
        <family val="2"/>
        <scheme val="minor"/>
      </rPr>
      <t>hochschulexterne</t>
    </r>
    <r>
      <rPr>
        <sz val="11"/>
        <color theme="1"/>
        <rFont val="Calibri"/>
        <family val="2"/>
        <scheme val="minor"/>
      </rPr>
      <t xml:space="preserve"> Voraussetzungen technischer oder rechtlicher Natur nicht rechtzeitig erfüllt waren, um an Ihrer Hochschule die vollständig medienbruchfreie Online-Bewerbung, -Zulassung und -Einschreibung fristgerecht anbieten zu können?</t>
    </r>
  </si>
  <si>
    <t>4.11.1</t>
  </si>
  <si>
    <t>4.11.2</t>
  </si>
  <si>
    <t>4.11.3</t>
  </si>
  <si>
    <t>4.11.4</t>
  </si>
  <si>
    <t>4.11.5</t>
  </si>
  <si>
    <t>4.11.6</t>
  </si>
  <si>
    <t>4.11.7</t>
  </si>
  <si>
    <t>4.11.8</t>
  </si>
  <si>
    <t>4.11.9</t>
  </si>
  <si>
    <t>4.11.10</t>
  </si>
  <si>
    <t>Waren die rechtlichen Voraussetzungen für die digitalen Nachweise an Ihrer Hochschule bis zum Sommersemester 2023 erfüllt?</t>
  </si>
  <si>
    <t>4.15.1</t>
  </si>
  <si>
    <t>4.15.2</t>
  </si>
  <si>
    <t>4.15.3</t>
  </si>
  <si>
    <t>4.15.4</t>
  </si>
  <si>
    <r>
      <t xml:space="preserve">Bedingte Frage ist nur zu beantworten, wenn bei Frage 4.2 die Optionen "Umsetzung begonnen" oder "Umsetzung in Planung" ausgewählt wurde. Bitte beachten Sie, dass hier nach den Gründen für die Verzögerungen in der </t>
    </r>
    <r>
      <rPr>
        <b/>
        <sz val="11"/>
        <color theme="1" tint="0.499984740745262"/>
        <rFont val="Calibri"/>
        <family val="2"/>
        <scheme val="minor"/>
      </rPr>
      <t>technischen Umsetzung</t>
    </r>
    <r>
      <rPr>
        <sz val="11"/>
        <color theme="1" tint="0.499984740745262"/>
        <rFont val="Calibri"/>
        <family val="2"/>
        <scheme val="minor"/>
      </rPr>
      <t xml:space="preserve"> gefragt ist. Die Umsetzung der rechtlichen Voraussetzungen (wie auch etwaige Verzögerungen bei deren Umsetzung) wird unten (Fragen 4.12-4.19) thematisiert.</t>
    </r>
  </si>
  <si>
    <t>Wurden die rechtlichen Voraussetzungen für die Anbindung an ein einheitliches Benutzerkonto bis zum Sommersemester 2023 erfüllt?</t>
  </si>
  <si>
    <t>4.19.1</t>
  </si>
  <si>
    <t>4.19.2</t>
  </si>
  <si>
    <t>4.19.3</t>
  </si>
  <si>
    <t>4.19.4</t>
  </si>
  <si>
    <t>4.19.5</t>
  </si>
  <si>
    <t>4.19.6</t>
  </si>
  <si>
    <r>
      <t>Die „Vereinbarung zur Umsetzung der Online-Bewerbung, -Zulassung und -Einschreibung“ sieht vor, dass die Anbindung an den Portalverbund bzw. die Verwaltungssuchmaschine des Landes bis zum 31.12.2022 erfolgt. Hierfür sind Verknüpfungen über Ihre Webseiten mit der Verwaltungssuchmaschine herzustellen. Ist dies an Ihrer Hochschule b</t>
    </r>
    <r>
      <rPr>
        <b/>
        <sz val="11"/>
        <color theme="1"/>
        <rFont val="Calibri"/>
        <family val="2"/>
        <scheme val="minor"/>
      </rPr>
      <t>is zu dem in der Vereinbarung genannten Stichtag</t>
    </r>
    <r>
      <rPr>
        <sz val="11"/>
        <color theme="1"/>
        <rFont val="Calibri"/>
        <family val="2"/>
        <scheme val="minor"/>
      </rPr>
      <t xml:space="preserve"> erfolgt?</t>
    </r>
  </si>
  <si>
    <t>Zugewiesene Mittel insgesamt (bis 31.12.2023)</t>
  </si>
  <si>
    <t>Verausgabte Mittel insgesamt (bis 31.12.2023)</t>
  </si>
  <si>
    <t>Wie viel Prozent der bisher zugewiesenen Mittel insgesamt sind bis zum Stichtag 31.12.2023 verausgabt worden?</t>
  </si>
  <si>
    <t>Bitte geben Sie die in 2023 zugewiesenen Mittel an.</t>
  </si>
  <si>
    <t>Bitte geben Sie im Haushaltsjahr 2023 verausgabten Mittel an.</t>
  </si>
  <si>
    <t>Bei dieser Frage ist von Ihnen nichts einzutragen. Die Angaben zu den Zuweisungen in den einzelnen Haushaltsjahren werden automatisch zusammengefasst.</t>
  </si>
  <si>
    <t>Bei dieser Frage ist von Ihnen nichts einzutragen. Die Angaben zu den Ausgaben in den einzelnen Haushaltsjahren werden automatisch zusammengefasst.</t>
  </si>
  <si>
    <t>Wofür wurden die zugewiesenen Mittel im gesamten Förderzeitraum bis zum Stichtag 31.12.2022 verausgabt?</t>
  </si>
  <si>
    <t>Bitte geben Sie die in 2022 zugewiesenen Mittel an.</t>
  </si>
  <si>
    <t>4.26</t>
  </si>
  <si>
    <t>4.27</t>
  </si>
  <si>
    <t>4.28</t>
  </si>
  <si>
    <t>4.29</t>
  </si>
  <si>
    <t>4.30</t>
  </si>
  <si>
    <t>4.30.1</t>
  </si>
  <si>
    <t>4.30.2</t>
  </si>
  <si>
    <t>4.30.3</t>
  </si>
  <si>
    <t>4.30.4</t>
  </si>
  <si>
    <t>4.31</t>
  </si>
  <si>
    <t>4.32</t>
  </si>
  <si>
    <t>Zugewiesene Mittel insgesamt für alle bisherigen Haushaltsjahre bis zum Stichtag 31.12.2023</t>
  </si>
  <si>
    <t>Verausgabte Mittel insgesamt (seit Projektbeginn bis zum Stichtag 31.12.2023)</t>
  </si>
  <si>
    <r>
      <t xml:space="preserve">Wie viel Prozent der zugewiesenen Mittel aus den dem Berichtszeitraum vorangegangenen Haushaltsjahren sind </t>
    </r>
    <r>
      <rPr>
        <b/>
        <sz val="11"/>
        <color theme="1"/>
        <rFont val="Calibri"/>
        <family val="2"/>
        <scheme val="minor"/>
      </rPr>
      <t>nicht</t>
    </r>
    <r>
      <rPr>
        <sz val="11"/>
        <color theme="1"/>
        <rFont val="Calibri"/>
        <family val="2"/>
        <scheme val="minor"/>
      </rPr>
      <t xml:space="preserve"> verausgabt worden?</t>
    </r>
  </si>
  <si>
    <r>
      <t xml:space="preserve">Zugewiesene Mittel aus den dem Berichtszeitraum vorangegangenen Haushaltsjahren (also 2020, 2021 </t>
    </r>
    <r>
      <rPr>
        <b/>
        <sz val="11"/>
        <color theme="1"/>
        <rFont val="Calibri"/>
        <family val="2"/>
        <scheme val="minor"/>
      </rPr>
      <t>und</t>
    </r>
    <r>
      <rPr>
        <sz val="11"/>
        <color theme="1"/>
        <rFont val="Calibri"/>
        <family val="2"/>
        <scheme val="minor"/>
      </rPr>
      <t xml:space="preserve"> 2022)</t>
    </r>
  </si>
  <si>
    <r>
      <t xml:space="preserve">Verausgabte Mittel aus den dem Berichtszeitraum vorangegangenen Haushaltsjahren (also 2020, 2021 </t>
    </r>
    <r>
      <rPr>
        <b/>
        <sz val="11"/>
        <color theme="1"/>
        <rFont val="Calibri"/>
        <family val="2"/>
        <scheme val="minor"/>
      </rPr>
      <t>und</t>
    </r>
    <r>
      <rPr>
        <sz val="11"/>
        <color theme="1"/>
        <rFont val="Calibri"/>
        <family val="2"/>
        <scheme val="minor"/>
      </rPr>
      <t xml:space="preserve"> 2022)</t>
    </r>
  </si>
  <si>
    <r>
      <t xml:space="preserve">Bitte geben Sie die Gründe für die Mehr- oder Minderausgaben in den dem Berichtszeitraum vorangegangenen Haushaltsjahren (2020, 2021 </t>
    </r>
    <r>
      <rPr>
        <b/>
        <sz val="11"/>
        <color theme="1"/>
        <rFont val="Calibri"/>
        <family val="2"/>
        <scheme val="minor"/>
      </rPr>
      <t>und</t>
    </r>
    <r>
      <rPr>
        <sz val="11"/>
        <color theme="1"/>
        <rFont val="Calibri"/>
        <family val="2"/>
        <scheme val="minor"/>
      </rPr>
      <t xml:space="preserve"> 2022) an.</t>
    </r>
  </si>
  <si>
    <t xml:space="preserve">Die Währung muss nicht eigens angegeben werden. </t>
  </si>
  <si>
    <r>
      <t xml:space="preserve">Bitte wählen Sie aus den folgenden Antwortoptionen aus (Mehrfachauswahl möglich) und/oder nutzen das Freitextfeld zur Angabe von Gründen, die in den vorgegebenen Optionen nicht enthalten sind. Die Gründe für die Mehr- oder Minderausgaben in </t>
    </r>
    <r>
      <rPr>
        <b/>
        <sz val="11"/>
        <color theme="1" tint="0.499984740745262"/>
        <rFont val="Calibri"/>
        <family val="2"/>
        <scheme val="minor"/>
      </rPr>
      <t>2023</t>
    </r>
    <r>
      <rPr>
        <sz val="11"/>
        <color theme="1" tint="0.499984740745262"/>
        <rFont val="Calibri"/>
        <family val="2"/>
        <scheme val="minor"/>
      </rPr>
      <t xml:space="preserve"> werden unten gesondert abgefragt.</t>
    </r>
  </si>
  <si>
    <t>5.16.11</t>
  </si>
  <si>
    <t>(zeitweise) Finanzierung der Personalkosten aus anderen Mitteln</t>
  </si>
  <si>
    <r>
      <t xml:space="preserve">Wie viel Prozent der zugewiesenen Mittel aus dem Haushaltsjahr 2023 sind bisher </t>
    </r>
    <r>
      <rPr>
        <b/>
        <sz val="11"/>
        <color theme="1"/>
        <rFont val="Calibri"/>
        <family val="2"/>
        <scheme val="minor"/>
      </rPr>
      <t>nicht</t>
    </r>
    <r>
      <rPr>
        <sz val="11"/>
        <color theme="1"/>
        <rFont val="Calibri"/>
        <family val="2"/>
        <scheme val="minor"/>
      </rPr>
      <t xml:space="preserve"> verausgabt worden?</t>
    </r>
  </si>
  <si>
    <r>
      <t xml:space="preserve">Zugewiesene Mittel aus dem Haushaltsjahr </t>
    </r>
    <r>
      <rPr>
        <b/>
        <sz val="11"/>
        <color theme="1"/>
        <rFont val="Calibri"/>
        <family val="2"/>
        <scheme val="minor"/>
      </rPr>
      <t>2023</t>
    </r>
    <r>
      <rPr>
        <sz val="11"/>
        <color theme="1"/>
        <rFont val="Calibri"/>
        <family val="2"/>
        <scheme val="minor"/>
      </rPr>
      <t xml:space="preserve"> (bis zum Stichtag 31.12.2023)</t>
    </r>
  </si>
  <si>
    <r>
      <t>Verausgabte Mittel aus dem Haushaltsjahr</t>
    </r>
    <r>
      <rPr>
        <b/>
        <sz val="11"/>
        <color theme="1"/>
        <rFont val="Calibri"/>
        <family val="2"/>
        <scheme val="minor"/>
      </rPr>
      <t xml:space="preserve"> 2023</t>
    </r>
    <r>
      <rPr>
        <sz val="11"/>
        <color theme="1"/>
        <rFont val="Calibri"/>
        <family val="2"/>
        <scheme val="minor"/>
      </rPr>
      <t xml:space="preserve"> (bis zum Stichtag 31.12.2023)</t>
    </r>
  </si>
  <si>
    <t>5.19.1</t>
  </si>
  <si>
    <t>5.19.2</t>
  </si>
  <si>
    <t>5.19.3</t>
  </si>
  <si>
    <t>5.19.4</t>
  </si>
  <si>
    <t>5.19.5</t>
  </si>
  <si>
    <t>5.19.6</t>
  </si>
  <si>
    <t>5.19.7</t>
  </si>
  <si>
    <t>5.19.8</t>
  </si>
  <si>
    <t>Unterbrechung in der Stellenbesetzung, auch wenn Stelle auf zwei Stellen aufgeteilt ist und nur eine der beiden Stellen zeitweise nicht besetzt war</t>
  </si>
  <si>
    <t>tatsächliche Personalkosten niedriger als Personalkostenpauschale</t>
  </si>
  <si>
    <t>Bedingte Frage ist nur zu beantworten, wenn bei 2.13 Ihre  Antwort "8", "9", "10", "11" oder "12" lautet.</t>
  </si>
  <si>
    <t>Bedingte Frage ist nur zu beantworten, wenn bei 2.13 Ihre Antwort "1", "2", "3", "4", "5", "6", "7", "8", "9", "10", "11" oder "12" lautet. Für die digiFellows ist pro Jahr die Auswahl eines Projekts vorgesehen.</t>
  </si>
  <si>
    <t>Bedingte Frage ist nur zu beantworten, wenn bei 2.13 Ihre Antwort "1", "2", "3", "4", "5", "6", "7", "8", "9", "10", "11" oder "12" lautet. Bitte geben Sie den Namen und die Kontaktdaten der Projektleitung in den folgenden Feldern an.</t>
  </si>
  <si>
    <t>Bedingte Frage ist nur zu beantworten, wenn bei 2.13 Ihre  Antwort "1", "2", "3", "4", "5", "6", "7", "8", "9", "10", "11" oder "12" lautet.</t>
  </si>
  <si>
    <t xml:space="preserve">Bedingte Frage ist nur zu beantworten, wenn bei 2.13 Ihre  Antwort "1", "2", "3", "4", "5", "6", "7", "8", "9", "10", "11" oder "12" lautet. Bitte geben Sie kein Semester als Projektbeginn an, sondern einen Tag nach dem folgenden Schema: TT.MM.JJJJ. Wenn im Antrag nicht anders angegeben, ist jeweils der erste Tag des Monats anzugegeben.  </t>
  </si>
  <si>
    <t xml:space="preserve">Bedingte Frage ist nur zu beantworten, wenn bei 2.13 Ihre  Antwort "1", "2", "3", "4", "5", "6", "7", "8", "9", "10", "11" oder "12" lautet. Bitte geben Sie kein Semester als Projektende an, sondern einen Tag nach dem folgenden Schema: TT.MM.JJJJ. Wenn im Antrag nicht anders angegeben, ist jeweils der letzte Tag des Monats anzugegeben.  </t>
  </si>
  <si>
    <t xml:space="preserve">Bedingte Frage ist nur zu beantworten, wenn bei 2.13 Ihre  Antwort "1", "2", "3", "4", "5", "6", "7", "8", "9", "10", "11" oder "12" lautet. </t>
  </si>
  <si>
    <t>Bedingte Frage ist nur zu beantworten, wenn bei 2.13 Ihre Antwort "2", "3", "4", "5", "6", "7", "8", "9", "10", "11" oder "12" lautet. Für die digiFellows ist pro Jahr die Auswahl eines Projekts vorgesehen.</t>
  </si>
  <si>
    <t>Bedingte Frage ist nur zu beantworten, wenn bei 2.13 Ihre Antwort "2", "3", "4", "5", "6", "7", "8", "9", "10", "11" oder "12" lautet. Bitte geben Sie den Namen und die Kontaktdaten der Projektleitung in den folgenden Feldern an.</t>
  </si>
  <si>
    <t>Bedingte Frage ist nur zu beantworten, wenn bei 2.13 Ihre  Antwort "2", "3", "4", "5", "6", "7", "8", "9", "10", "11" oder "12" lautet.</t>
  </si>
  <si>
    <t xml:space="preserve">Bedingte Frage ist nur zu beantworten, wenn bei 2.13 Ihre  Antwort "2", "3", "4", "5", "6", "7", "8", "9", "10", "11" oder "12" lautet. Bitte geben Sie kein Semester als Projektbeginn an, sondern einen Tag nach dem folgenden Schema: TT.MM.JJJJ. Wenn im Antrag nicht anders angegeben, ist jeweils der erste Tag des Monats anzugegeben.  </t>
  </si>
  <si>
    <t xml:space="preserve">Bedingte Frage ist nur zu beantworten, wenn bei 2.13 Ihre  Antwort "2", "3", "4", "5", "6", "7", "8", "9", "10", "11" oder "12" lautet. Bitte geben Sie kein Semester als Projektende an, sondern einen Tag nach dem folgenden Schema: TT.MM.JJJJ. Wenn im Antrag nicht anders angegeben, ist jeweils der letzte Tag des Monats anzugegeben.  </t>
  </si>
  <si>
    <t xml:space="preserve">Bedingte Frage ist nur zu beantworten, wenn bei 2.13 Ihre  Antwort "2", "3", "4", "5", "6", "7", "8", "9", "10", "11" oder "12" lautet. </t>
  </si>
  <si>
    <t>Bedingte Frage ist nur zu beantworten, wenn bei 2.13 Ihre Antwort "3", "4", "5", "6", "7", "8", "9", "10", "11" oder "12" lautet. Für die digiFellows ist pro Jahr die Auswahl eines Projekts vorgesehen.</t>
  </si>
  <si>
    <t>Bedingte Frage ist nur zu beantworten, wenn bei 2.13 Ihre Antwort "3", "4", "5", "6", "7", "8", "9", "10", "11" oder "12" lautet. Bitte geben Sie den Namen und die Kontaktdaten der Projektleitung in den folgenden Feldern an.</t>
  </si>
  <si>
    <t>Bedingte Frage ist nur zu beantworten, wenn bei 2.13 Ihre  Antwort "3", "4", "5", "6", "7", "8", "9", "10", "11" oder "12" lautet.</t>
  </si>
  <si>
    <t xml:space="preserve">Bedingte Frage ist nur zu beantworten, wenn bei 2.13 Ihre  Antwort "3", "4", "5", "6", "7", "8", "9", "10", "11" oder "12" lautet. Bitte geben Sie kein Semester als Projektbeginn an, sondern einen Tag nach dem folgenden Schema: TT.MM.JJJJ. Wenn im Antrag nicht anders angegeben, ist jeweils der erste Tag des Monats anzugegeben.  </t>
  </si>
  <si>
    <t xml:space="preserve">Bedingte Frage ist nur zu beantworten, wenn bei 2.13 Ihre  Antwort "3", "4", "5", "6", "7", "8", "9", "10", "11" oder "12" lautet. Bitte geben Sie kein Semester als Projektende an, sondern einen Tag nach dem folgenden Schema: TT.MM.JJJJ. Wenn im Antrag nicht anders angegeben, ist jeweils der letzte Tag des Monats anzugegeben.  </t>
  </si>
  <si>
    <t xml:space="preserve">Bedingte Frage ist nur zu beantworten, wenn bei 2.13 Ihre  Antwort "3", "4", "5", "6", "7", "8", "9", "10", "11" oder "12" lautet. </t>
  </si>
  <si>
    <t>Bedingte Frage ist nur zu beantworten, wenn bei 2.13 Ihre Antwort "4", "5", "6", "7", "8", "9", "10", "11" oder "12" lautet. Für die digiFellows ist pro Jahr die Auswahl eines Projekts vorgesehen.</t>
  </si>
  <si>
    <t>Bedingte Frage ist nur zu beantworten, wenn bei 2.13 Ihre Antwort "4", "5", "6", "7", "8", "9", "10", "11" oder "12" lautet. Bitte geben Sie den Namen und die Kontaktdaten der Projektleitung in den folgenden Feldern an.</t>
  </si>
  <si>
    <t>Bedingte Frage ist nur zu beantworten, wenn bei 2.13 Ihre  Antwort "4", "5", "6", "7", "8", "9", "10", "11" oder "12" lautet.</t>
  </si>
  <si>
    <t xml:space="preserve">Bedingte Frage ist nur zu beantworten, wenn bei 2.13 Ihre  Antwort "4", "5", "6", "7", "8", "9", "10", "11" oder "12" lautet. Bitte geben Sie kein Semester als Projektbeginn an, sondern einen Tag nach dem folgenden Schema: TT.MM.JJJJ. Wenn im Antrag nicht anders angegeben, ist jeweils der erste Tag des Monats anzugegeben.  </t>
  </si>
  <si>
    <t xml:space="preserve">Bedingte Frage ist nur zu beantworten, wenn bei 2.13 Ihre  Antwort "4", "5", "6", "7", "8", "9", "10", "11" oder "12" lautet. Bitte geben Sie kein Semester als Projektende an, sondern einen Tag nach dem folgenden Schema: TT.MM.JJJJ. Wenn im Antrag nicht anders angegeben, ist jeweils der letzte Tag des Monats anzugegeben.  </t>
  </si>
  <si>
    <t xml:space="preserve">Bedingte Frage ist nur zu beantworten, wenn bei 2.13 Ihre  Antwort "4", "5", "6", "7", "8", "9", "10", "11" oder "12" lautet. </t>
  </si>
  <si>
    <t>Bedingte Frage ist nur zu beantworten, wenn bei 2.13 Ihre Antwort "5", "6", "7", "8", "9", "10", "11" oder "12" lautet. Für die digiFellows ist pro Jahr die Auswahl eines Projekts vorgesehen.</t>
  </si>
  <si>
    <t>Bedingte Frage ist nur zu beantworten, wenn bei 2.13 Ihre Antwort "5", "6", "7", "8", "9", "10", "11" oder "12" lautet. Bitte geben Sie den Namen und die Kontaktdaten der Projektleitung in den folgenden Feldern an.</t>
  </si>
  <si>
    <t>Bedingte Frage ist nur zu beantworten, wenn bei 2.13 Ihre  Antwort "5", "6", "7", "8", "9", "10", "11" oder "12" lautet.</t>
  </si>
  <si>
    <t xml:space="preserve">Bedingte Frage ist nur zu beantworten, wenn bei 2.13 Ihre  Antwort "5", "6", "7", "8", "9", "10", "11" oder "12" lautet. Bitte geben Sie kein Semester als Projektbeginn an, sondern einen Tag nach dem folgenden Schema: TT.MM.JJJJ. Wenn im Antrag nicht anders angegeben, ist jeweils der erste Tag des Monats anzugegeben.  </t>
  </si>
  <si>
    <t xml:space="preserve">Bedingte Frage ist nur zu beantworten, wenn bei 2.13 Ihre  Antwort "5", "6", "7", "8", "9", "10", "11" oder "12" lautet. Bitte geben Sie kein Semester als Projektende an, sondern einen Tag nach dem folgenden Schema: TT.MM.JJJJ. Wenn im Antrag nicht anders angegeben, ist jeweils der letzte Tag des Monats anzugegeben.  </t>
  </si>
  <si>
    <t xml:space="preserve">Bedingte Frage ist nur zu beantworten, wenn bei 2.13 Ihre  Antwort "5", "6", "7", "8", "9", "10", "11" oder "12" lautet. </t>
  </si>
  <si>
    <t>Bedingte Frage ist nur zu beantworten, wenn bei 2.13 Ihre Antwort "6", "7", "8", "9", "10", "11" oder "12" lautet. Für die digiFellows ist pro Jahr die Auswahl eines Projekts vorgesehen.</t>
  </si>
  <si>
    <t>Bedingte Frage ist nur zu beantworten, wenn bei 2.13 Ihre Antwort "6", "7", "8", "9", "10", "11" oder "12" lautet. Bitte geben Sie den Namen und die Kontaktdaten der Projektleitung in den folgenden Feldern an.</t>
  </si>
  <si>
    <t>Bedingte Frage ist nur zu beantworten, wenn bei 2.13 Ihre  Antwort "6", "7", "8", "9", "10", "11" oder "12" lautet.</t>
  </si>
  <si>
    <t xml:space="preserve">Bedingte Frage ist nur zu beantworten, wenn bei 2.13 Ihre  Antwort "6", "7", "8", "9", "10", "11" oder "12" lautet. Bitte geben Sie kein Semester als Projektbeginn an, sondern einen Tag nach dem folgenden Schema: TT.MM.JJJJ. Wenn im Antrag nicht anders angegeben, ist jeweils der erste Tag des Monats anzugegeben.  </t>
  </si>
  <si>
    <t xml:space="preserve">Bedingte Frage ist nur zu beantworten, wenn bei 2.13 Ihre  Antwort "6", "7", "8", "9", "10", "11" oder "12" lautet. Bitte geben Sie kein Semester als Projektende an, sondern einen Tag nach dem folgenden Schema: TT.MM.JJJJ. Wenn im Antrag nicht anders angegeben, ist jeweils der letzte Tag des Monats anzugegeben.  </t>
  </si>
  <si>
    <t xml:space="preserve">Bedingte Frage ist nur zu beantworten, wenn bei 2.13 Ihre  Antwort "6", "7", "8", "9", "10", "11" oder "12" lautet. </t>
  </si>
  <si>
    <t>Bedingte Frage ist nur zu beantworten, wenn bei 2.13 Ihre Antwort "7", "8", "9", "10", "11" oder "12" lautet. Für die digiFellows ist pro Jahr die Auswahl eines Projekts vorgesehen.</t>
  </si>
  <si>
    <t>Bedingte Frage ist nur zu beantworten, wenn bei 2.13 Ihre Antwort "7", "8", "9", "10", "11" oder "12" lautet. Bitte geben Sie den Namen und die Kontaktdaten der Projektleitung in den folgenden Feldern an.</t>
  </si>
  <si>
    <t>Bedingte Frage ist nur zu beantworten, wenn bei 2.13 Ihre  Antwort "7", "8", "9", "10", "11" oder "12" lautet.</t>
  </si>
  <si>
    <t xml:space="preserve">Bedingte Frage ist nur zu beantworten, wenn bei 2.13 Ihre  Antwort "7", "8", "9", "10", "11" oder "12" lautet. Bitte geben Sie kein Semester als Projektbeginn an, sondern einen Tag nach dem folgenden Schema: TT.MM.JJJJ. Wenn im Antrag nicht anders angegeben, ist jeweils der erste Tag des Monats anzugegeben.  </t>
  </si>
  <si>
    <t xml:space="preserve">Bedingte Frage ist nur zu beantworten, wenn bei 2.13 Ihre  Antwort "7", "8", "9", "10", "11" oder "12" lautet. Bitte geben Sie kein Semester als Projektende an, sondern einen Tag nach dem folgenden Schema: TT.MM.JJJJ. Wenn im Antrag nicht anders angegeben, ist jeweils der letzte Tag des Monats anzugegeben.  </t>
  </si>
  <si>
    <t xml:space="preserve">Bedingte Frage ist nur zu beantworten, wenn bei 2.13 Ihre  Antwort "7", "8", "9", "10", "11" oder "12" lautet. </t>
  </si>
  <si>
    <t>Bedingte Frage ist nur zu beantworten, wenn bei 2.13 Ihre Antwort "8", "9", "10", "11" oder "12" lautet. Für die digiFellows ist pro Jahr die Auswahl eines Projekts vorgesehen.</t>
  </si>
  <si>
    <t>Bedingte Frage ist nur zu beantworten, wenn bei 2.13 Ihre Antwort "8", "9", "10", "11" oder "12" lautet. Bitte geben Sie den Namen und die Kontaktdaten der Projektleitung in den folgenden Feldern an.</t>
  </si>
  <si>
    <t xml:space="preserve">Bedingte Frage ist nur zu beantworten, wenn bei 2.13 Ihre  Antwort "8", "9", "10", "11" oder "12" lautet. Bitte geben Sie kein Semester als Projektbeginn an, sondern einen Tag nach dem folgenden Schema: TT.MM.JJJJ. Wenn im Antrag nicht anders angegeben, ist jeweils der erste Tag des Monats anzugegeben.  </t>
  </si>
  <si>
    <t xml:space="preserve">Bedingte Frage ist nur zu beantworten, wenn bei 2.13 Ihre  Antwort "8", "9", "10", "11" oder "12" lautet. Bitte geben Sie kein Semester als Projektende an, sondern einen Tag nach dem folgenden Schema: TT.MM.JJJJ. Wenn im Antrag nicht anders angegeben, ist jeweils der letzte Tag des Monats anzugegeben.  </t>
  </si>
  <si>
    <t xml:space="preserve">Bedingte Frage ist nur zu beantworten, wenn bei 2.13 Ihre  Antwort "8", "9", "10", "11" oder "12" lautet. </t>
  </si>
  <si>
    <t>Bedingte Frage ist nur zu beantworten, wenn bei 2.13 Ihre Antwort "9", "10", "11" oder "12" lautet. Für die digiFellows ist pro Jahr die Auswahl eines Projekts vorgesehen.</t>
  </si>
  <si>
    <t>Bedingte Frage ist nur zu beantworten, wenn bei 2.13 Ihre Antwort "9", "10", "11" oder "12" lautet. Bitte geben Sie den Namen und die Kontaktdaten der Projektleitung in den folgenden Feldern an.</t>
  </si>
  <si>
    <t>Bedingte Frage ist nur zu beantworten, wenn bei 2.13 Ihre  Antwort "9", "10", "11" oder "12" lautet.</t>
  </si>
  <si>
    <t>Bedingte Frage ist nur zu beantworten, wenn bei 2.13 Ihre  Antwort  "9", "10", "11" oder "12" lautet.</t>
  </si>
  <si>
    <t xml:space="preserve">Bedingte Frage ist nur zu beantworten, wenn bei 2.13 Ihre  Antwort "9", "10", "11" oder "12" lautet. Bitte geben Sie kein Semester als Projektbeginn an, sondern einen Tag nach dem folgenden Schema: TT.MM.JJJJ. Wenn im Antrag nicht anders angegeben, ist jeweils der erste Tag des Monats anzugegeben.  </t>
  </si>
  <si>
    <t xml:space="preserve">Bedingte Frage ist nur zu beantworten, wenn bei 2.13 Ihre  Antwort "9", "10", "11" oder "12" lautet. Bitte geben Sie kein Semester als Projektende an, sondern einen Tag nach dem folgenden Schema: TT.MM.JJJJ. Wenn im Antrag nicht anders angegeben, ist jeweils der letzte Tag des Monats anzugegeben.  </t>
  </si>
  <si>
    <t xml:space="preserve">Bedingte Frage ist nur zu beantworten, wenn bei 2.13 Ihre  Antwort "9", "10", "11" oder "12" lautet. </t>
  </si>
  <si>
    <t>Bedingte Frage ist nur zu beantworten, wenn bei 2.13 Ihre Antwort "10", "11" oder "12" lautet. Für die digiFellows ist pro Jahr die Auswahl eines Projekts vorgesehen.</t>
  </si>
  <si>
    <t>Bedingte Frage ist nur zu beantworten, wenn bei 2.13 Ihre Antwort "10", "11" oder "12" lautet. Bitte geben Sie den Namen und die Kontaktdaten der Projektleitung in den folgenden Feldern an.</t>
  </si>
  <si>
    <t>Bedingte Frage ist nur zu beantworten, wenn bei 2.13 Ihre  Antwort "10", "11" oder "12" lautet.</t>
  </si>
  <si>
    <t xml:space="preserve">Bedingte Frage ist nur zu beantworten, wenn bei 2.13 Ihre  Antwort "10", "11" oder "12" lautet. Bitte geben Sie kein Semester als Projektbeginn an, sondern einen Tag nach dem folgenden Schema: TT.MM.JJJJ. Wenn im Antrag nicht anders angegeben, ist jeweils der erste Tag des Monats anzugegeben.  </t>
  </si>
  <si>
    <t xml:space="preserve">Bedingte Frage ist nur zu beantworten, wenn bei 2.13 Ihre  Antwort "10", "11" oder "12" lautet. Bitte geben Sie kein Semester als Projektende an, sondern einen Tag nach dem folgenden Schema: TT.MM.JJJJ. Wenn im Antrag nicht anders angegeben, ist jeweils der letzte Tag des Monats anzugegeben.  </t>
  </si>
  <si>
    <t xml:space="preserve">Bedingte Frage ist nur zu beantworten, wenn bei 2.13 Ihre  Antwort "10", "11" oder "12" lautet. </t>
  </si>
  <si>
    <t>Bedingte Frage ist nur zu beantworten, wenn bei 2.13 Ihre Antwort "11" oder "12" lautet. Für die digiFellows ist pro Jahr die Auswahl eines Projekts vorgesehen.</t>
  </si>
  <si>
    <t>Bedingte Frage ist nur zu beantworten, wenn bei 2.13 Ihre Antwort  "11" oder "12" lautet. Bitte geben Sie den Namen und die Kontaktdaten der Projektleitung in den folgenden Feldern an.</t>
  </si>
  <si>
    <t>Bedingte Frage ist nur zu beantworten, wenn bei 2.13 Ihre  Antwort "11" oder "12" lautet.</t>
  </si>
  <si>
    <t xml:space="preserve">Bedingte Frage ist nur zu beantworten, wenn bei 2.13 Ihre  Antwort "11" oder "12" lautet. Bitte geben Sie kein Semester als Projektbeginn an, sondern einen Tag nach dem folgenden Schema: TT.MM.JJJJ. Wenn im Antrag nicht anders angegeben, ist jeweils der erste Tag des Monats anzugegeben.  </t>
  </si>
  <si>
    <t xml:space="preserve">Bedingte Frage ist nur zu beantworten, wenn bei 2.13 Ihre  Antwort "11" oder "12" lautet. Bitte geben Sie kein Semester als Projektende an, sondern einen Tag nach dem folgenden Schema: TT.MM.JJJJ. Wenn im Antrag nicht anders angegeben, ist jeweils der letzte Tag des Monats anzugegeben.  </t>
  </si>
  <si>
    <t xml:space="preserve">Bedingte Frage ist nur zu beantworten, wenn bei 2.13 Ihre  Antwort "11" oder "12" lautet. </t>
  </si>
  <si>
    <t>Bedingte Frage ist nur zu beantworten, wenn bei 2.13 Ihre Antwort "12" lautet. Für die digiFellows ist pro Jahr die Auswahl eines Projekts vorgesehen.</t>
  </si>
  <si>
    <t>Bedingte Frage ist nur zu beantworten, wenn bei 2.13 Ihre Antwort "12" lautet. Bitte geben Sie den Namen und die Kontaktdaten der Projektleitung in den folgenden Feldern an.</t>
  </si>
  <si>
    <t>Bedingte Frage ist nur zu beantworten, wenn bei 2.13 Ihre  Antwort "12" lautet.</t>
  </si>
  <si>
    <t xml:space="preserve">Bedingte Frage ist nur zu beantworten, wenn bei 2.13 Ihre  Antwort "12" lautet. Bitte geben Sie kein Semester als Projektbeginn an, sondern einen Tag nach dem folgenden Schema: TT.MM.JJJJ. Wenn im Antrag nicht anders angegeben, ist jeweils der erste Tag des Monats anzugegeben.  </t>
  </si>
  <si>
    <t xml:space="preserve">Bedingte Frage ist nur zu beantworten, wenn bei 2.13 Ihre  Antwort "12" lautet. Bitte geben Sie kein Semester als Projektende an, sondern einen Tag nach dem folgenden Schema: TT.MM.JJJJ. Wenn im Antrag nicht anders angegeben, ist jeweils der letzte Tag des Monats anzugegeben.  </t>
  </si>
  <si>
    <t xml:space="preserve">Bedingte Frage ist nur zu beantworten, wenn bei 2.13 Ihre  Antwort "12" lautet. </t>
  </si>
  <si>
    <t>Bitte beachten Sie, dass sich die Fragen 4.2 bis 4.7 ausschließlich auf die technische Machbarkeit beziehen (und nicht etwa auf die rechtlichen Voraussetzungen).</t>
  </si>
  <si>
    <t>Bedingte Frage ist nur zu beantworten, wenn bei Frage 4.2 die Optionen "Umsetzung begonnen" oder "Umsetzung in Planung" ausgewählt wurde.</t>
  </si>
  <si>
    <t>Wenn es bis zum genannten Zeitpunkt Ausnahmen von der medienbruchen Online-Bewerbung und/oder -Immatrikulation gab, ist die Frage mit "nein zu beantworten. Die Ausnahmen wie auch die Gründe können bei den folgenden Fragen angegeben werden können.</t>
  </si>
  <si>
    <t>Bedingte Frage ist nur zu beantworten, wenn Frage 4.8 mit "ja" beantwortet wurde.</t>
  </si>
  <si>
    <t xml:space="preserve">Bedingte Frage ist nur zu beantworten, wenn Frage 4.10 mit "ja" beantwortet wurde. </t>
  </si>
  <si>
    <t>Bedingte Frage ist nur zu beantworten, wenn die Frage 4.13 mit "nein" beantwortet wurde. Geben Sie bitte eine ganze Zahl zum voraussichtlichen Verzug in Monaten an und kein Intervall. Wenn Sie dennoch ein Intervall angeben, wird der Endwert des Intervalls in die Auswertung genommen.</t>
  </si>
  <si>
    <r>
      <t xml:space="preserve">Bedingte Frage ist nur zu beantworten, wenn die Frage 4.13 mit "nein" beantwortet wurde. Bitte beachten Sie, dass nach der Realisierung der </t>
    </r>
    <r>
      <rPr>
        <b/>
        <sz val="11"/>
        <color theme="1" tint="0.499984740745262"/>
        <rFont val="Calibri"/>
        <family val="2"/>
        <scheme val="minor"/>
      </rPr>
      <t>rechtlichen Voraussetzungen</t>
    </r>
    <r>
      <rPr>
        <sz val="11"/>
        <color theme="1" tint="0.499984740745262"/>
        <rFont val="Calibri"/>
        <family val="2"/>
        <scheme val="minor"/>
      </rPr>
      <t xml:space="preserve"> gefragt ist. Die Gründe für technische Verzögerungen sind Gegenstand der Fragen 4.2-4.7. Wählen Sie geeignete Antwortoptionen aus und/oder beschreiben weitere Gründe im Freitextfeld (4.15.4).</t>
    </r>
  </si>
  <si>
    <t>Bedingte Frage ist nur zu beantworten, wenn die Frage 4.17 mit "nein" beantwortet wurde. Geben Sie bitte eine ganze Zahl zum voraussichtlichen Verzug in Monaten an und kein Intervall. Wenn Sie dennoch ein Intervall angeben, wird der Endwert des Intervalls in die Auswertung genommen.</t>
  </si>
  <si>
    <t>Bedingte Frage ist nur zu beantworten, wenn die Frage 4.17 mit "nein" beantwortet wurde. Wählen Sie ggeeignete Antwortoptionen aus und/oder geben weitere Gründe im Freitextfeld (4.19.6) an.</t>
  </si>
  <si>
    <r>
      <t xml:space="preserve">Hat Ihr Campus-Management-Anbieter zur Ermöglichung der technischen Anbindung an ein Nutzerkonto die erforderliche Schnittstelle bis </t>
    </r>
    <r>
      <rPr>
        <b/>
        <sz val="11"/>
        <color theme="1"/>
        <rFont val="Calibri"/>
        <family val="2"/>
        <scheme val="minor"/>
      </rPr>
      <t>31.12.2022</t>
    </r>
    <r>
      <rPr>
        <sz val="11"/>
        <color theme="1"/>
        <rFont val="Calibri"/>
        <family val="2"/>
        <scheme val="minor"/>
      </rPr>
      <t xml:space="preserve"> zur Verfügung gestellt?</t>
    </r>
  </si>
  <si>
    <r>
      <t xml:space="preserve">Hat Ihr Campus-Management-Anbieter die erforderliche Schnittstelle zur Ermöglichung der technischen Anbindung an ein Nutzerkonto bis </t>
    </r>
    <r>
      <rPr>
        <b/>
        <sz val="11"/>
        <color theme="1"/>
        <rFont val="Calibri"/>
        <family val="2"/>
        <scheme val="minor"/>
      </rPr>
      <t>31.12.2023</t>
    </r>
    <r>
      <rPr>
        <sz val="11"/>
        <color theme="1"/>
        <rFont val="Calibri"/>
        <family val="2"/>
        <scheme val="minor"/>
      </rPr>
      <t xml:space="preserve"> zur Verfügung gestellt?</t>
    </r>
  </si>
  <si>
    <t>Bitte beachten, dass sich die Fragen 4.20 und 4.21 auf unterschiedliche Stichtage beziehen.</t>
  </si>
  <si>
    <t>Bedingte Frage ist nur zu beantworten, wenn Frage 4.20 mit "nein" beantwortet wurde. Geben Sie bitte eine ganze Zahl zum voraussichtlichen Verzug in Monaten an und kein Intervall. Wenn Sie dennoch ein Intervall angeben, wird der Endwert des Intervalls in die Auswertung genommen.)</t>
  </si>
  <si>
    <t>Bedingte Frage ist nur zu beantworten, wenn Frage 4.23 mit "nein" beantwortet wurde. Geben Sie bitte eine ganze Zahl zum voraussichtlichen Verzug in Monaten an und kein Intervall. Wenn Sie dennoch ein Intervall angeben, wird der Endwert des Intervalls in die Auswertung genommen</t>
  </si>
  <si>
    <t>Bei dieser Frage ist von Ihnen nichts einzutragen. Der Wert wird anhand Ihrer Eintragungen bei folgenden Fragen automatisch berechnet.</t>
  </si>
  <si>
    <t>Bitte lediglich die Zahl ohne Punkte oder Währungsangabe eintragen.</t>
  </si>
  <si>
    <t>Hier ist von Ihnen nichts einzutragen. Der Wert wird anhand Ihrer anderen Eintragungen automatisch berechnet.</t>
  </si>
  <si>
    <t>Bitte wählen Sie in den folgenden Zeilen die zutreffenden Optionen aus und/oder ergänzen weitere im Freitextfeld (4.30.4).</t>
  </si>
  <si>
    <t>Bedingte Frage ist nur zu beantworten, wenn Frage 4.30.2 mit "ja" beantwortet wurde.</t>
  </si>
  <si>
    <t>Falls die Stelle zeitgleich von zwei Personen besetzt ist, kann die zweite Person bei Frage 5.12 angegeben werden.</t>
  </si>
  <si>
    <t>Bitte geben Sie die Gründe für die Mehr- oder Minderausgaben im Haushaltsjahr 2023 an.</t>
  </si>
  <si>
    <r>
      <t xml:space="preserve">Sind bis zum Stichtag 31.12.2023 die entsprechenden </t>
    </r>
    <r>
      <rPr>
        <b/>
        <sz val="11"/>
        <color theme="1"/>
        <rFont val="Calibri"/>
        <family val="2"/>
        <scheme val="minor"/>
      </rPr>
      <t>rechtlichen Vorkehrungen</t>
    </r>
    <r>
      <rPr>
        <sz val="11"/>
        <color theme="1"/>
        <rFont val="Calibri"/>
        <family val="2"/>
        <scheme val="minor"/>
      </rPr>
      <t xml:space="preserve"> für die Anerkennung digitaler Nachweise an Ihrer Hochschule getroffen worden (z.B. Änderung der entsprechenden Satzungen, Studienordnungen o.ä.)?</t>
    </r>
  </si>
  <si>
    <r>
      <t xml:space="preserve">Sind bis zum Stichtag 31.12.2023 die entsprechenden </t>
    </r>
    <r>
      <rPr>
        <b/>
        <sz val="11"/>
        <color theme="1"/>
        <rFont val="Calibri"/>
        <family val="2"/>
        <scheme val="minor"/>
      </rPr>
      <t>rechtlichen</t>
    </r>
    <r>
      <rPr>
        <sz val="11"/>
        <color theme="1"/>
        <rFont val="Calibri"/>
        <family val="2"/>
        <scheme val="minor"/>
      </rPr>
      <t xml:space="preserve"> Vorkehrungen getroffen worden, um die Anbindung an ein einheitliches Nutzerkonto zu ermöglichen (z.B. Anschluss an das Nutzerkonto Bund oder Alternativen)?</t>
    </r>
  </si>
  <si>
    <t>Bedingte Frage ist nur zu beantworten, wenn Frage 4.23 mit "nein" beantwortet wurde.</t>
  </si>
  <si>
    <t xml:space="preserve">Konnte die Stelle der/des Netzwerkmitarbeitenden an Ihrer Hochschule bis zum Stichtag 31.12.2023 (mindestens einmal) besetzt werden?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</si>
</sst>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4" x14ac:knownFonts="1">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color theme="0"/>
      <name val="Calibri"/>
      <family val="2"/>
      <scheme val="minor"/>
    </font>
    <font>
      <b/>
      <sz val="11"/>
      <color rgb="FFDBE2E9"/>
      <name val="Calibri"/>
      <family val="2"/>
      <scheme val="minor"/>
    </font>
    <font>
      <sz val="11"/>
      <color theme="1" tint="0.499984740745262"/>
      <name val="Calibri"/>
      <family val="2"/>
      <scheme val="minor"/>
    </font>
    <font>
      <b/>
      <sz val="11"/>
      <color theme="1" tint="0.499984740745262"/>
      <name val="Calibri"/>
      <family val="2"/>
      <scheme val="minor"/>
    </font>
    <font>
      <b/>
      <i/>
      <sz val="11"/>
      <color theme="1"/>
      <name val="Calibri"/>
      <family val="2"/>
      <scheme val="minor"/>
    </font>
    <font>
      <u/>
      <sz val="11"/>
      <color theme="10"/>
      <name val="Calibri"/>
      <family val="2"/>
      <scheme val="minor"/>
    </font>
    <font>
      <b/>
      <sz val="11"/>
      <color rgb="FFAC145A"/>
      <name val="Calibri"/>
      <family val="2"/>
      <scheme val="minor"/>
    </font>
    <font>
      <b/>
      <sz val="11"/>
      <name val="Calibri"/>
      <family val="2"/>
      <scheme val="minor"/>
    </font>
    <font>
      <sz val="11"/>
      <color rgb="FFAC145A"/>
      <name val="Calibri"/>
      <family val="2"/>
      <scheme val="minor"/>
    </font>
    <font>
      <sz val="11"/>
      <color theme="1" tint="0.499984740745262"/>
      <name val="Calibri"/>
      <family val="2"/>
    </font>
  </fonts>
  <fills count="7">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rgb="FFDBE2E9"/>
        <bgColor indexed="64"/>
      </patternFill>
    </fill>
    <fill>
      <patternFill patternType="solid">
        <fgColor rgb="FF003057"/>
        <bgColor indexed="64"/>
      </patternFill>
    </fill>
    <fill>
      <patternFill patternType="solid">
        <fgColor rgb="FFAC145A"/>
        <bgColor indexed="64"/>
      </patternFill>
    </fill>
  </fills>
  <borders count="5">
    <border>
      <left/>
      <right/>
      <top/>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right/>
      <top style="thin">
        <color theme="4" tint="0.39997558519241921"/>
      </top>
      <bottom/>
      <diagonal/>
    </border>
    <border>
      <left style="thin">
        <color theme="4" tint="0.39997558519241921"/>
      </left>
      <right style="thin">
        <color theme="4" tint="0.39997558519241921"/>
      </right>
      <top/>
      <bottom style="thin">
        <color theme="4" tint="0.39997558519241921"/>
      </bottom>
      <diagonal/>
    </border>
  </borders>
  <cellStyleXfs count="2">
    <xf numFmtId="0" fontId="0" fillId="0" borderId="0"/>
    <xf numFmtId="0" fontId="9" fillId="0" borderId="0" applyNumberFormat="0" applyFill="0" applyBorder="0" applyAlignment="0" applyProtection="0"/>
  </cellStyleXfs>
  <cellXfs count="119">
    <xf numFmtId="0" fontId="0" fillId="0" borderId="0" xfId="0"/>
    <xf numFmtId="0" fontId="3" fillId="0" borderId="0" xfId="0" applyFont="1" applyFill="1" applyAlignment="1">
      <alignment horizontal="center" vertical="center" wrapText="1"/>
    </xf>
    <xf numFmtId="0" fontId="0" fillId="0" borderId="0" xfId="0" applyFont="1" applyAlignment="1">
      <alignment horizontal="center" vertical="center"/>
    </xf>
    <xf numFmtId="0" fontId="0" fillId="0" borderId="0" xfId="0" applyAlignment="1">
      <alignment horizontal="center" vertical="center"/>
    </xf>
    <xf numFmtId="0" fontId="0" fillId="0" borderId="0" xfId="0" applyFont="1" applyFill="1" applyAlignment="1" applyProtection="1">
      <alignment horizontal="center" vertical="center" wrapText="1"/>
      <protection locked="0"/>
    </xf>
    <xf numFmtId="0" fontId="0"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3"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4" fillId="2" borderId="2"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3" xfId="0" applyFont="1" applyFill="1" applyBorder="1" applyAlignment="1">
      <alignment horizontal="center" vertical="center"/>
    </xf>
    <xf numFmtId="0" fontId="0" fillId="0" borderId="3" xfId="0" applyFont="1" applyBorder="1" applyAlignment="1">
      <alignment horizontal="center" vertical="center"/>
    </xf>
    <xf numFmtId="0" fontId="4" fillId="2" borderId="0" xfId="0" applyFont="1" applyFill="1" applyBorder="1" applyAlignment="1">
      <alignment horizontal="center" vertical="center"/>
    </xf>
    <xf numFmtId="0" fontId="0" fillId="3" borderId="4" xfId="0" applyFont="1" applyFill="1" applyBorder="1" applyAlignment="1">
      <alignment horizontal="center" vertical="center"/>
    </xf>
    <xf numFmtId="0" fontId="0" fillId="0" borderId="0" xfId="0" applyAlignment="1">
      <alignment wrapText="1"/>
    </xf>
    <xf numFmtId="10" fontId="2" fillId="4" borderId="0" xfId="0" applyNumberFormat="1" applyFont="1" applyFill="1" applyAlignment="1" applyProtection="1">
      <alignment horizontal="center" vertical="center" wrapText="1"/>
    </xf>
    <xf numFmtId="0" fontId="0" fillId="4" borderId="0" xfId="0" applyFont="1" applyFill="1" applyAlignment="1" applyProtection="1">
      <alignment horizontal="center" vertical="center" wrapText="1"/>
    </xf>
    <xf numFmtId="0" fontId="0" fillId="0" borderId="0" xfId="0" applyFill="1" applyAlignment="1" applyProtection="1">
      <alignment horizontal="center" vertical="center" wrapText="1"/>
      <protection locked="0"/>
    </xf>
    <xf numFmtId="1" fontId="0" fillId="0" borderId="0" xfId="0" applyNumberFormat="1" applyAlignment="1" applyProtection="1">
      <alignment horizontal="center" vertical="center" wrapText="1"/>
      <protection locked="0"/>
    </xf>
    <xf numFmtId="164" fontId="0" fillId="0" borderId="0" xfId="0" applyNumberFormat="1" applyFill="1" applyAlignment="1" applyProtection="1">
      <alignment horizontal="center" vertical="center" wrapText="1"/>
      <protection locked="0"/>
    </xf>
    <xf numFmtId="0" fontId="0" fillId="4" borderId="0" xfId="0" applyFill="1" applyAlignment="1" applyProtection="1">
      <alignment horizontal="center" vertical="center" wrapText="1"/>
    </xf>
    <xf numFmtId="164" fontId="0" fillId="4" borderId="0" xfId="0" applyNumberFormat="1" applyFill="1" applyAlignment="1" applyProtection="1">
      <alignment horizontal="center" vertical="center" wrapText="1"/>
    </xf>
    <xf numFmtId="0" fontId="0" fillId="4" borderId="0" xfId="0" applyNumberFormat="1" applyFill="1" applyAlignment="1" applyProtection="1">
      <alignment horizontal="center" vertical="center" wrapText="1"/>
    </xf>
    <xf numFmtId="164" fontId="0" fillId="0" borderId="0" xfId="0" applyNumberFormat="1" applyFont="1" applyFill="1" applyAlignment="1" applyProtection="1">
      <alignment horizontal="center" vertical="center" wrapText="1"/>
      <protection locked="0"/>
    </xf>
    <xf numFmtId="0" fontId="6" fillId="0" borderId="0" xfId="0" applyFont="1" applyFill="1" applyAlignment="1" applyProtection="1">
      <alignment horizontal="left" vertical="center" wrapText="1" indent="2"/>
    </xf>
    <xf numFmtId="0" fontId="3" fillId="0" borderId="0" xfId="0" applyFont="1" applyAlignment="1" applyProtection="1">
      <alignment horizontal="left" vertical="center" wrapText="1" indent="1"/>
      <protection locked="0"/>
    </xf>
    <xf numFmtId="1" fontId="3" fillId="0" borderId="0" xfId="0" applyNumberFormat="1" applyFont="1" applyAlignment="1" applyProtection="1">
      <alignment horizontal="left" vertical="center" wrapText="1" indent="1"/>
      <protection locked="0"/>
    </xf>
    <xf numFmtId="0" fontId="0" fillId="0" borderId="0" xfId="0" applyAlignment="1" applyProtection="1">
      <alignment horizontal="left" vertical="center" wrapText="1" indent="1"/>
      <protection locked="0"/>
    </xf>
    <xf numFmtId="1" fontId="0" fillId="0" borderId="0" xfId="0" applyNumberFormat="1" applyAlignment="1" applyProtection="1">
      <alignment horizontal="left" vertical="center" wrapText="1" indent="1"/>
      <protection locked="0"/>
    </xf>
    <xf numFmtId="0" fontId="0" fillId="4" borderId="0" xfId="0" applyFill="1" applyAlignment="1" applyProtection="1">
      <alignment horizontal="left" vertical="center" wrapText="1" indent="1"/>
    </xf>
    <xf numFmtId="1" fontId="3" fillId="0" borderId="0" xfId="0" applyNumberFormat="1" applyFont="1" applyFill="1" applyAlignment="1" applyProtection="1">
      <alignment horizontal="left" vertical="center" wrapText="1" indent="1"/>
      <protection locked="0"/>
    </xf>
    <xf numFmtId="1" fontId="3" fillId="4" borderId="0" xfId="0" applyNumberFormat="1" applyFont="1" applyFill="1" applyAlignment="1" applyProtection="1">
      <alignment horizontal="left" vertical="center" wrapText="1" indent="1"/>
    </xf>
    <xf numFmtId="0" fontId="0" fillId="0" borderId="0" xfId="0" applyFill="1" applyAlignment="1" applyProtection="1">
      <alignment horizontal="left" vertical="center" wrapText="1" indent="1"/>
      <protection locked="0"/>
    </xf>
    <xf numFmtId="1" fontId="0" fillId="0" borderId="0" xfId="0" applyNumberFormat="1" applyFill="1" applyAlignment="1" applyProtection="1">
      <alignment horizontal="left" vertical="center" wrapText="1" indent="1"/>
      <protection locked="0"/>
    </xf>
    <xf numFmtId="14" fontId="0" fillId="0" borderId="0" xfId="0" applyNumberFormat="1" applyFill="1"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xf numFmtId="49" fontId="0" fillId="0" borderId="0" xfId="0" applyNumberFormat="1" applyFill="1" applyAlignment="1" applyProtection="1">
      <alignment horizontal="center" vertical="center" wrapText="1"/>
      <protection locked="0"/>
    </xf>
    <xf numFmtId="49" fontId="3" fillId="0" borderId="0" xfId="0" applyNumberFormat="1" applyFont="1" applyFill="1" applyAlignment="1" applyProtection="1">
      <alignment horizontal="left" vertical="center" wrapText="1" indent="1"/>
      <protection locked="0"/>
    </xf>
    <xf numFmtId="164" fontId="0" fillId="0" borderId="0" xfId="0" applyNumberFormat="1" applyAlignment="1" applyProtection="1">
      <alignment horizontal="left" vertical="center" wrapText="1" indent="1"/>
      <protection locked="0"/>
    </xf>
    <xf numFmtId="1" fontId="0" fillId="4" borderId="0" xfId="0" applyNumberFormat="1" applyFill="1" applyAlignment="1" applyProtection="1">
      <alignment horizontal="left" vertical="center" wrapText="1" indent="1"/>
    </xf>
    <xf numFmtId="49" fontId="0" fillId="0" borderId="0" xfId="0" applyNumberFormat="1" applyFill="1" applyAlignment="1" applyProtection="1">
      <alignment horizontal="left" vertical="center" wrapText="1" indent="1"/>
      <protection locked="0"/>
    </xf>
    <xf numFmtId="49" fontId="0" fillId="0" borderId="0" xfId="0" applyNumberFormat="1" applyAlignment="1" applyProtection="1">
      <alignment horizontal="left" vertical="center" wrapText="1" indent="1"/>
      <protection locked="0"/>
    </xf>
    <xf numFmtId="49" fontId="0" fillId="0" borderId="0" xfId="0" applyNumberFormat="1" applyFont="1" applyFill="1" applyAlignment="1" applyProtection="1">
      <alignment horizontal="center" vertical="center" wrapText="1"/>
      <protection locked="0"/>
    </xf>
    <xf numFmtId="49" fontId="0" fillId="0" borderId="0" xfId="0" applyNumberFormat="1" applyFont="1" applyAlignment="1" applyProtection="1">
      <alignment horizontal="center" vertical="center" wrapText="1"/>
      <protection locked="0"/>
    </xf>
    <xf numFmtId="0" fontId="9" fillId="0" borderId="0" xfId="1" applyFill="1" applyAlignment="1" applyProtection="1">
      <alignment horizontal="center" vertical="center" wrapText="1"/>
      <protection locked="0"/>
    </xf>
    <xf numFmtId="0" fontId="1" fillId="4" borderId="0" xfId="0" applyFont="1" applyFill="1" applyAlignment="1" applyProtection="1">
      <alignment horizontal="center" vertical="center" wrapText="1"/>
    </xf>
    <xf numFmtId="1" fontId="0" fillId="0" borderId="0" xfId="0" applyNumberFormat="1" applyFont="1" applyFill="1" applyAlignment="1" applyProtection="1">
      <alignment horizontal="center" vertical="center" wrapText="1"/>
      <protection locked="0"/>
    </xf>
    <xf numFmtId="1" fontId="0" fillId="0" borderId="0" xfId="0" applyNumberFormat="1" applyFill="1" applyAlignment="1" applyProtection="1">
      <alignment horizontal="center" vertical="center" wrapText="1"/>
      <protection locked="0"/>
    </xf>
    <xf numFmtId="0" fontId="4" fillId="6" borderId="0" xfId="0" applyFont="1" applyFill="1" applyAlignment="1" applyProtection="1">
      <alignment horizontal="left" vertical="center" wrapText="1" indent="2"/>
    </xf>
    <xf numFmtId="0" fontId="0" fillId="0" borderId="0" xfId="0" applyAlignment="1" applyProtection="1">
      <alignment horizontal="left" vertical="center" wrapText="1" indent="2"/>
    </xf>
    <xf numFmtId="49" fontId="4" fillId="5" borderId="0" xfId="0" applyNumberFormat="1" applyFont="1" applyFill="1" applyAlignment="1" applyProtection="1">
      <alignment horizontal="left" vertical="center" wrapText="1" indent="1"/>
    </xf>
    <xf numFmtId="0" fontId="8" fillId="4" borderId="0" xfId="0" applyFont="1" applyFill="1" applyAlignment="1" applyProtection="1">
      <alignment horizontal="left" vertical="center" wrapText="1" indent="2"/>
    </xf>
    <xf numFmtId="0" fontId="0" fillId="4" borderId="0" xfId="0" applyFill="1" applyAlignment="1" applyProtection="1">
      <alignment horizontal="left" vertical="center" wrapText="1" indent="2"/>
    </xf>
    <xf numFmtId="0" fontId="0" fillId="4" borderId="0" xfId="0" applyFill="1" applyAlignment="1" applyProtection="1">
      <alignment horizontal="left" vertical="center" wrapText="1" indent="3"/>
    </xf>
    <xf numFmtId="0" fontId="4" fillId="4" borderId="0" xfId="0" applyFont="1" applyFill="1" applyAlignment="1" applyProtection="1">
      <alignment horizontal="left" vertical="center" wrapText="1" indent="2"/>
    </xf>
    <xf numFmtId="0" fontId="11" fillId="4" borderId="0" xfId="0" applyFont="1" applyFill="1" applyAlignment="1" applyProtection="1">
      <alignment horizontal="left" vertical="center" wrapText="1" indent="2"/>
    </xf>
    <xf numFmtId="1" fontId="6" fillId="0" borderId="0" xfId="0" applyNumberFormat="1" applyFont="1" applyFill="1" applyAlignment="1" applyProtection="1">
      <alignment horizontal="left" vertical="center" wrapText="1" indent="2"/>
      <protection locked="0"/>
    </xf>
    <xf numFmtId="3" fontId="0" fillId="0" borderId="0" xfId="0" applyNumberFormat="1" applyFill="1" applyAlignment="1" applyProtection="1">
      <alignment horizontal="center" vertical="center" wrapText="1"/>
      <protection locked="0"/>
    </xf>
    <xf numFmtId="1" fontId="3" fillId="0" borderId="0" xfId="0" applyNumberFormat="1" applyFont="1" applyFill="1" applyAlignment="1" applyProtection="1">
      <alignment horizontal="center" vertical="center" wrapText="1"/>
      <protection locked="0"/>
    </xf>
    <xf numFmtId="164" fontId="2" fillId="4" borderId="0" xfId="0" applyNumberFormat="1" applyFont="1" applyFill="1" applyAlignment="1" applyProtection="1">
      <alignment horizontal="center" vertical="center" wrapText="1"/>
    </xf>
    <xf numFmtId="10" fontId="2" fillId="4" borderId="0" xfId="0" applyNumberFormat="1" applyFont="1" applyFill="1" applyAlignment="1" applyProtection="1">
      <alignment horizontal="left" vertical="center" wrapText="1" indent="1"/>
    </xf>
    <xf numFmtId="49" fontId="0" fillId="4" borderId="0" xfId="0" applyNumberFormat="1" applyFill="1" applyAlignment="1" applyProtection="1">
      <alignment horizontal="center" vertical="center" wrapText="1"/>
    </xf>
    <xf numFmtId="0" fontId="1" fillId="0" borderId="0" xfId="0" applyFont="1" applyFill="1" applyAlignment="1" applyProtection="1">
      <alignment horizontal="center" vertical="center" wrapText="1"/>
      <protection locked="0"/>
    </xf>
    <xf numFmtId="49" fontId="0" fillId="4" borderId="0" xfId="0" applyNumberFormat="1" applyFill="1" applyAlignment="1" applyProtection="1">
      <alignment horizontal="left" vertical="center" wrapText="1" indent="1"/>
    </xf>
    <xf numFmtId="0" fontId="5" fillId="6" borderId="0" xfId="0" applyFont="1" applyFill="1" applyAlignment="1" applyProtection="1">
      <alignment horizontal="left" vertical="center" wrapText="1" indent="1"/>
    </xf>
    <xf numFmtId="0" fontId="5" fillId="6" borderId="0" xfId="0" applyFont="1" applyFill="1" applyAlignment="1" applyProtection="1">
      <alignment horizontal="left" vertical="center" wrapText="1" indent="2"/>
    </xf>
    <xf numFmtId="0" fontId="5" fillId="6" borderId="0" xfId="0" applyFont="1" applyFill="1" applyBorder="1" applyAlignment="1" applyProtection="1">
      <alignment horizontal="center" vertical="center" wrapText="1"/>
    </xf>
    <xf numFmtId="0" fontId="5" fillId="6" borderId="0" xfId="0" applyFont="1" applyFill="1" applyAlignment="1" applyProtection="1">
      <alignment horizontal="center" vertical="center" wrapText="1"/>
    </xf>
    <xf numFmtId="0" fontId="1" fillId="0" borderId="0" xfId="0" applyFont="1" applyAlignment="1" applyProtection="1">
      <alignment horizontal="center" vertical="center" wrapText="1"/>
    </xf>
    <xf numFmtId="0" fontId="5" fillId="5" borderId="0" xfId="0" applyFont="1" applyFill="1" applyAlignment="1" applyProtection="1">
      <alignment horizontal="left" vertical="center" wrapText="1" indent="1"/>
    </xf>
    <xf numFmtId="0" fontId="5" fillId="4" borderId="0" xfId="0" applyFont="1" applyFill="1" applyBorder="1" applyAlignment="1" applyProtection="1">
      <alignment horizontal="center" vertical="center" wrapText="1"/>
    </xf>
    <xf numFmtId="0" fontId="5" fillId="5" borderId="0" xfId="0" applyFont="1" applyFill="1" applyAlignment="1" applyProtection="1">
      <alignment horizontal="center" vertical="center" wrapText="1"/>
    </xf>
    <xf numFmtId="0" fontId="4" fillId="5" borderId="0" xfId="0" applyFont="1" applyFill="1" applyBorder="1" applyAlignment="1" applyProtection="1">
      <alignment horizontal="center" vertical="center" wrapText="1"/>
    </xf>
    <xf numFmtId="0" fontId="4" fillId="5" borderId="0" xfId="0" applyFont="1" applyFill="1" applyAlignment="1" applyProtection="1">
      <alignment horizontal="center" vertical="center" wrapText="1"/>
    </xf>
    <xf numFmtId="0" fontId="0" fillId="0" borderId="0" xfId="0" applyAlignment="1" applyProtection="1">
      <alignment horizontal="center" vertical="center" wrapText="1"/>
    </xf>
    <xf numFmtId="0" fontId="0" fillId="4" borderId="0" xfId="0" applyFont="1" applyFill="1" applyAlignment="1" applyProtection="1">
      <alignment horizontal="left" vertical="center" wrapText="1" indent="2"/>
    </xf>
    <xf numFmtId="0" fontId="0" fillId="0" borderId="0" xfId="0" applyFont="1" applyFill="1" applyAlignment="1" applyProtection="1">
      <alignment horizontal="center" vertical="center" wrapText="1"/>
    </xf>
    <xf numFmtId="0" fontId="6" fillId="0" borderId="0" xfId="0" applyFont="1" applyAlignment="1" applyProtection="1">
      <alignment horizontal="left" vertical="center" wrapText="1" indent="2"/>
    </xf>
    <xf numFmtId="0" fontId="0" fillId="0" borderId="0" xfId="0" applyBorder="1" applyAlignment="1" applyProtection="1">
      <alignment horizontal="center" vertical="center" wrapText="1"/>
    </xf>
    <xf numFmtId="0" fontId="0" fillId="0" borderId="0" xfId="0" applyFill="1" applyAlignment="1" applyProtection="1">
      <alignment horizontal="center" vertical="center" wrapText="1"/>
    </xf>
    <xf numFmtId="0" fontId="0" fillId="0" borderId="0" xfId="0" applyFill="1" applyBorder="1" applyAlignment="1" applyProtection="1">
      <alignment horizontal="center" vertical="center" wrapText="1"/>
    </xf>
    <xf numFmtId="49" fontId="4" fillId="5" borderId="0" xfId="0" applyNumberFormat="1" applyFont="1" applyFill="1" applyAlignment="1" applyProtection="1">
      <alignment horizontal="center" vertical="center" wrapText="1"/>
    </xf>
    <xf numFmtId="49" fontId="7" fillId="5" borderId="0" xfId="0" applyNumberFormat="1" applyFont="1" applyFill="1" applyAlignment="1" applyProtection="1">
      <alignment horizontal="left" vertical="center" wrapText="1" indent="2"/>
    </xf>
    <xf numFmtId="49" fontId="4" fillId="5" borderId="0" xfId="0" applyNumberFormat="1"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10" fillId="0" borderId="0" xfId="0" applyFont="1" applyFill="1" applyAlignment="1" applyProtection="1">
      <alignment horizontal="left" vertical="center" wrapText="1" indent="2"/>
    </xf>
    <xf numFmtId="0" fontId="0" fillId="0" borderId="0" xfId="0" applyFont="1" applyBorder="1" applyAlignment="1" applyProtection="1">
      <alignment horizontal="center" vertical="center" wrapText="1"/>
    </xf>
    <xf numFmtId="0" fontId="2" fillId="4" borderId="0" xfId="0" applyFont="1" applyFill="1" applyAlignment="1" applyProtection="1">
      <alignment horizontal="left" vertical="center" wrapText="1" indent="2"/>
    </xf>
    <xf numFmtId="0" fontId="1" fillId="0" borderId="0" xfId="0" applyFont="1" applyFill="1" applyBorder="1" applyAlignment="1" applyProtection="1">
      <alignment horizontal="center" vertical="center" wrapText="1"/>
    </xf>
    <xf numFmtId="0" fontId="1" fillId="0" borderId="0" xfId="0" applyFont="1" applyFill="1" applyAlignment="1" applyProtection="1">
      <alignment horizontal="center" vertical="center" wrapText="1"/>
    </xf>
    <xf numFmtId="0" fontId="0" fillId="4" borderId="0" xfId="0" applyFont="1" applyFill="1" applyAlignment="1" applyProtection="1">
      <alignment horizontal="left" vertical="center" wrapText="1" indent="3"/>
    </xf>
    <xf numFmtId="49" fontId="0" fillId="0" borderId="0" xfId="0" applyNumberFormat="1" applyAlignment="1" applyProtection="1">
      <alignment horizontal="left" vertical="center" wrapText="1" indent="1"/>
    </xf>
    <xf numFmtId="0" fontId="0" fillId="0" borderId="0" xfId="0" applyFont="1" applyFill="1" applyAlignment="1" applyProtection="1">
      <alignment vertical="center" wrapText="1"/>
    </xf>
    <xf numFmtId="49" fontId="7" fillId="5" borderId="0" xfId="0" applyNumberFormat="1" applyFont="1" applyFill="1" applyAlignment="1" applyProtection="1">
      <alignment horizontal="center" vertical="center" wrapText="1"/>
    </xf>
    <xf numFmtId="49" fontId="3" fillId="4" borderId="0" xfId="0" applyNumberFormat="1" applyFont="1" applyFill="1" applyAlignment="1" applyProtection="1">
      <alignment horizontal="left" vertical="center" wrapText="1" indent="1"/>
    </xf>
    <xf numFmtId="1" fontId="2" fillId="4" borderId="0" xfId="0" applyNumberFormat="1" applyFont="1" applyFill="1" applyAlignment="1" applyProtection="1">
      <alignment horizontal="left" vertical="center" wrapText="1" indent="1"/>
    </xf>
    <xf numFmtId="164" fontId="0" fillId="4" borderId="0" xfId="0" applyNumberFormat="1" applyFill="1" applyAlignment="1" applyProtection="1">
      <alignment horizontal="left" vertical="center" wrapText="1" indent="1"/>
    </xf>
    <xf numFmtId="164" fontId="3" fillId="4" borderId="0" xfId="0" applyNumberFormat="1" applyFont="1" applyFill="1" applyAlignment="1" applyProtection="1">
      <alignment horizontal="center" vertical="center" wrapText="1"/>
    </xf>
    <xf numFmtId="0" fontId="0" fillId="0" borderId="0" xfId="0" applyAlignment="1" applyProtection="1">
      <alignment horizontal="left" vertical="center" wrapText="1" indent="2"/>
      <protection locked="0"/>
    </xf>
    <xf numFmtId="164" fontId="0" fillId="0" borderId="0" xfId="0" applyNumberFormat="1" applyAlignment="1" applyProtection="1">
      <alignment horizontal="left" vertical="center" wrapText="1" indent="2"/>
      <protection locked="0"/>
    </xf>
    <xf numFmtId="164" fontId="0" fillId="0" borderId="0" xfId="0" applyNumberFormat="1" applyFill="1" applyAlignment="1" applyProtection="1">
      <alignment horizontal="left" vertical="center" wrapText="1" indent="2"/>
      <protection locked="0"/>
    </xf>
    <xf numFmtId="49" fontId="0" fillId="0" borderId="0" xfId="0" applyNumberFormat="1" applyAlignment="1" applyProtection="1">
      <alignment horizontal="left" vertical="center" wrapText="1" indent="2"/>
      <protection locked="0"/>
    </xf>
    <xf numFmtId="14" fontId="0" fillId="0" borderId="0" xfId="0" applyNumberFormat="1" applyAlignment="1" applyProtection="1">
      <alignment horizontal="left" vertical="center" wrapText="1" indent="2"/>
      <protection locked="0"/>
    </xf>
    <xf numFmtId="1" fontId="0" fillId="0" borderId="0" xfId="0" applyNumberFormat="1" applyAlignment="1" applyProtection="1">
      <alignment horizontal="left" vertical="center" wrapText="1" indent="2"/>
      <protection locked="0"/>
    </xf>
    <xf numFmtId="0" fontId="4" fillId="5" borderId="0" xfId="0" applyFont="1" applyFill="1" applyAlignment="1" applyProtection="1">
      <alignment horizontal="left" vertical="center" wrapText="1" indent="2"/>
    </xf>
    <xf numFmtId="49" fontId="4" fillId="5" borderId="0" xfId="0" applyNumberFormat="1" applyFont="1" applyFill="1" applyAlignment="1" applyProtection="1">
      <alignment horizontal="left" vertical="center" wrapText="1" indent="2"/>
    </xf>
    <xf numFmtId="0" fontId="0" fillId="0" borderId="0" xfId="0" applyFont="1" applyAlignment="1" applyProtection="1">
      <alignment horizontal="center" vertical="center" wrapText="1"/>
    </xf>
    <xf numFmtId="0" fontId="10" fillId="4" borderId="0" xfId="0" applyFont="1" applyFill="1" applyAlignment="1" applyProtection="1">
      <alignment horizontal="left" vertical="center" wrapText="1" indent="2"/>
    </xf>
    <xf numFmtId="0" fontId="0" fillId="5" borderId="0" xfId="0" applyFill="1" applyAlignment="1" applyProtection="1">
      <alignment horizontal="left" vertical="center" wrapText="1" indent="2"/>
    </xf>
    <xf numFmtId="164" fontId="2" fillId="0" borderId="0" xfId="0" applyNumberFormat="1" applyFont="1" applyFill="1" applyAlignment="1" applyProtection="1">
      <alignment horizontal="left" vertical="center" wrapText="1" indent="1"/>
      <protection locked="0"/>
    </xf>
    <xf numFmtId="0" fontId="4" fillId="5" borderId="0" xfId="0" applyFont="1" applyFill="1" applyAlignment="1" applyProtection="1">
      <alignment horizontal="left" vertical="center" wrapText="1" indent="2"/>
    </xf>
    <xf numFmtId="49" fontId="4" fillId="5" borderId="0" xfId="0" applyNumberFormat="1" applyFont="1" applyFill="1" applyAlignment="1" applyProtection="1">
      <alignment horizontal="left" vertical="center" wrapText="1" indent="2"/>
    </xf>
    <xf numFmtId="0" fontId="0" fillId="0" borderId="0" xfId="0" applyFont="1" applyAlignment="1" applyProtection="1">
      <alignment horizontal="center" vertical="center" wrapText="1"/>
    </xf>
    <xf numFmtId="0" fontId="10" fillId="4" borderId="0" xfId="0" applyFont="1" applyFill="1" applyAlignment="1" applyProtection="1">
      <alignment horizontal="left" vertical="center" wrapText="1" indent="2"/>
    </xf>
    <xf numFmtId="0" fontId="12" fillId="0" borderId="0" xfId="0" applyFont="1" applyAlignment="1" applyProtection="1">
      <alignment horizontal="left" vertical="center" wrapText="1" indent="2"/>
    </xf>
    <xf numFmtId="0" fontId="0" fillId="5" borderId="0" xfId="0" applyFill="1" applyAlignment="1" applyProtection="1">
      <alignment horizontal="left" vertical="center" wrapText="1" indent="2"/>
    </xf>
    <xf numFmtId="0" fontId="1" fillId="4" borderId="0" xfId="0" applyFont="1" applyFill="1" applyAlignment="1" applyProtection="1">
      <alignment horizontal="left" vertical="center" wrapText="1" indent="2"/>
    </xf>
    <xf numFmtId="0" fontId="0" fillId="0" borderId="0" xfId="0" applyFill="1" applyAlignment="1" applyProtection="1">
      <alignment horizontal="left" vertical="center" wrapText="1" indent="2"/>
      <protection locked="0"/>
    </xf>
  </cellXfs>
  <cellStyles count="2">
    <cellStyle name="Link" xfId="1" builtinId="8"/>
    <cellStyle name="Standard" xfId="0" builtinId="0"/>
  </cellStyles>
  <dxfs count="18">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border outline="0">
        <left style="thin">
          <color theme="4" tint="0.39997558519241921"/>
        </left>
        <right style="thin">
          <color theme="4" tint="0.39997558519241921"/>
        </right>
        <top style="thin">
          <color theme="4" tint="0.39997558519241921"/>
        </top>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center" vertical="center" textRotation="0" wrapText="0" indent="0" justifyLastLine="0" shrinkToFit="0" readingOrder="0"/>
    </dxf>
    <dxf>
      <border outline="0">
        <top style="thin">
          <color theme="4" tint="0.39997558519241921"/>
        </top>
      </border>
    </dxf>
    <dxf>
      <border outline="0">
        <right style="thin">
          <color theme="4" tint="0.39997558519241921"/>
        </right>
        <top style="thin">
          <color theme="4" tint="0.39997558519241921"/>
        </top>
        <bottom style="thin">
          <color theme="4" tint="0.39997558519241921"/>
        </bottom>
      </border>
    </dxf>
    <dxf>
      <border outline="0">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dxf>
  </dxfs>
  <tableStyles count="0" defaultTableStyle="TableStyleMedium2" defaultPivotStyle="PivotStyleLight16"/>
  <colors>
    <mruColors>
      <color rgb="FF003057"/>
      <color rgb="FFDBE2E9"/>
      <color rgb="FFAC14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D0A577D-085B-4449-8E63-515FB9648524}" name="Tabelle1" displayName="Tabelle1" ref="A1:A17" totalsRowShown="0" headerRowDxfId="17" dataDxfId="16">
  <autoFilter ref="A1:A17" xr:uid="{3046464F-E7C5-487B-B4E9-752E45F07AAC}"/>
  <tableColumns count="1">
    <tableColumn id="1" xr3:uid="{386F9318-7F1B-4C02-8F65-67E728C0577A}" name="Projekte" dataDxfId="1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EB21E80-54F3-4943-A502-00EAB9977B5D}" name="Tabelle2" displayName="Tabelle2" ref="C1:C38" totalsRowShown="0" headerRowDxfId="14" dataDxfId="13">
  <autoFilter ref="C1:C38" xr:uid="{D03B70A2-FB15-4714-85DE-825A8D3633BB}"/>
  <tableColumns count="1">
    <tableColumn id="1" xr3:uid="{99C1C8EF-02D3-4B6D-8FE1-29E50077BC9F}" name="Hochschulen" dataDxfId="1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D7B84C3-F470-4BC9-9F7B-3DEE667B4E36}" name="Tabelle4" displayName="Tabelle4" ref="G1:G4" totalsRowShown="0" headerRowDxfId="11" headerRowBorderDxfId="10" tableBorderDxfId="9" totalsRowBorderDxfId="8">
  <autoFilter ref="G1:G4" xr:uid="{599BD383-7869-430D-B497-5574DBA76A6E}"/>
  <tableColumns count="1">
    <tableColumn id="1" xr3:uid="{AC30BD78-4636-4365-B3C6-7B5E64F5A007}" name="Entscheidungen (erweitert)"/>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84669EA-3901-4FF5-81BF-C089ED4A8C07}" name="Tabelle5" displayName="Tabelle5" ref="E1:E3" totalsRowShown="0" headerRowDxfId="7" tableBorderDxfId="6">
  <autoFilter ref="E1:E3" xr:uid="{F3C2ADD1-A4BE-41D3-9E43-66F33ECEBC91}"/>
  <tableColumns count="1">
    <tableColumn id="1" xr3:uid="{94B9FBA5-99F0-44C3-835F-3F1FBDA18227}" name="Entscheidunge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BAAAFFC-F0FD-4E3A-9288-5AE1944EBE34}" name="Tabelle6" displayName="Tabelle6" ref="I1:I6" totalsRowShown="0">
  <autoFilter ref="I1:I6" xr:uid="{27536F5D-0A9B-412A-8447-E3E8074D512A}"/>
  <tableColumns count="1">
    <tableColumn id="1" xr3:uid="{AAF4F13E-5F31-4372-A483-F78D84999C41}" name="Ausschreibunge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944F23A-FEC4-4C5C-90C6-196FE26C6409}" name="Tabelle3" displayName="Tabelle3" ref="K1:K4" totalsRowShown="0" headerRowDxfId="5" dataDxfId="4">
  <autoFilter ref="K1:K4" xr:uid="{F48447F1-00B3-4CBF-B517-F5B461375C21}"/>
  <tableColumns count="1">
    <tableColumn id="1" xr3:uid="{5369446A-66A8-4ABD-8EA8-DF4AADA6049B}" name="Kommunikation" dataDxfId="3"/>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7C06140-3BF5-4AC0-8B10-97C56D535E16}" name="Tabelle7" displayName="Tabelle7" ref="M1:M5" totalsRowShown="0">
  <autoFilter ref="M1:M5" xr:uid="{22BABFDA-E5BB-4C23-BAE6-A53F61F17DE4}"/>
  <tableColumns count="1">
    <tableColumn id="1" xr3:uid="{9E410A92-5865-49A3-86C7-982CED169FAE}" name="Zuordnung Ausschreibunge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E859820-D9D4-40EC-8305-82A9E712D6CA}" name="Tabelle8" displayName="Tabelle8" ref="O1:O7" totalsRowShown="0" headerRowDxfId="2" dataDxfId="1">
  <autoFilter ref="O1:O7" xr:uid="{B9C5AA74-9384-429F-971E-460E76CA05A5}"/>
  <tableColumns count="1">
    <tableColumn id="1" xr3:uid="{9A588840-9009-4B39-A530-47504683D1F2}" name="Bewertungen"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h.nrw/fileadmin/user_upload/dh-nrw/pdf_word_Dokumente/2021.12.02_Zustimmung_Curriculum_4.0.pdf" TargetMode="External"/><Relationship Id="rId1" Type="http://schemas.openxmlformats.org/officeDocument/2006/relationships/hyperlink" Target="https://www.dh.nrw/fileadmin/user_upload/dh-nrw/pdf_word_Dokumente/2021.12.02_Zustimmung_DigiFellow.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AB6B6-F0B5-400D-86ED-4C43C7A3F76C}">
  <sheetPr codeName="Tabelle2"/>
  <dimension ref="A1:H263"/>
  <sheetViews>
    <sheetView tabSelected="1" workbookViewId="0">
      <pane ySplit="1" topLeftCell="A257" activePane="bottomLeft" state="frozen"/>
      <selection pane="bottomLeft" activeCell="D265" sqref="D265"/>
    </sheetView>
  </sheetViews>
  <sheetFormatPr baseColWidth="10" defaultColWidth="11.5546875" defaultRowHeight="14.4" x14ac:dyDescent="0.3"/>
  <cols>
    <col min="1" max="1" width="10.44140625" style="92" customWidth="1"/>
    <col min="2" max="2" width="50.88671875" style="75" customWidth="1"/>
    <col min="3" max="3" width="3.33203125" style="75" customWidth="1"/>
    <col min="4" max="4" width="50.33203125" style="75" customWidth="1"/>
    <col min="5" max="5" width="70" style="75" customWidth="1"/>
    <col min="6" max="6" width="2.6640625" style="79" customWidth="1"/>
    <col min="7" max="7" width="34.44140625" style="75" hidden="1" customWidth="1"/>
    <col min="8" max="8" width="2.6640625" style="75" customWidth="1"/>
    <col min="9" max="16384" width="11.5546875" style="75"/>
  </cols>
  <sheetData>
    <row r="1" spans="1:8" s="69" customFormat="1" ht="30" customHeight="1" x14ac:dyDescent="0.3">
      <c r="A1" s="65"/>
      <c r="B1" s="66" t="s">
        <v>184</v>
      </c>
      <c r="C1" s="66"/>
      <c r="D1" s="66" t="s">
        <v>177</v>
      </c>
      <c r="E1" s="66" t="s">
        <v>180</v>
      </c>
      <c r="F1" s="67"/>
      <c r="G1" s="68" t="s">
        <v>50</v>
      </c>
      <c r="H1" s="68"/>
    </row>
    <row r="2" spans="1:8" s="69" customFormat="1" ht="70.05" customHeight="1" x14ac:dyDescent="0.3">
      <c r="A2" s="70"/>
      <c r="B2" s="114" t="s">
        <v>500</v>
      </c>
      <c r="C2" s="115"/>
      <c r="D2" s="115"/>
      <c r="E2" s="115"/>
      <c r="F2" s="71"/>
      <c r="G2" s="68"/>
      <c r="H2" s="72"/>
    </row>
    <row r="3" spans="1:8" ht="30" customHeight="1" x14ac:dyDescent="0.3">
      <c r="A3" s="51" t="s">
        <v>0</v>
      </c>
      <c r="B3" s="111" t="s">
        <v>42</v>
      </c>
      <c r="C3" s="111"/>
      <c r="D3" s="111"/>
      <c r="E3" s="111"/>
      <c r="F3" s="73"/>
      <c r="G3" s="74"/>
      <c r="H3" s="74"/>
    </row>
    <row r="4" spans="1:8" ht="45" customHeight="1" x14ac:dyDescent="0.3">
      <c r="A4" s="51" t="s">
        <v>1</v>
      </c>
      <c r="B4" s="76" t="s">
        <v>182</v>
      </c>
      <c r="C4" s="17"/>
      <c r="D4" s="4"/>
      <c r="E4" s="78" t="s">
        <v>187</v>
      </c>
      <c r="G4" s="77"/>
      <c r="H4" s="74"/>
    </row>
    <row r="5" spans="1:8" ht="49.95" customHeight="1" x14ac:dyDescent="0.3">
      <c r="A5" s="51" t="s">
        <v>2</v>
      </c>
      <c r="B5" s="76" t="s">
        <v>43</v>
      </c>
      <c r="C5" s="17"/>
      <c r="D5" s="17"/>
      <c r="E5" s="78" t="s">
        <v>188</v>
      </c>
      <c r="G5" s="77"/>
      <c r="H5" s="74"/>
    </row>
    <row r="6" spans="1:8" ht="30" customHeight="1" x14ac:dyDescent="0.3">
      <c r="A6" s="51" t="s">
        <v>431</v>
      </c>
      <c r="B6" s="54" t="s">
        <v>128</v>
      </c>
      <c r="C6" s="21"/>
      <c r="D6" s="36"/>
      <c r="E6" s="78"/>
      <c r="H6" s="74"/>
    </row>
    <row r="7" spans="1:8" ht="30" customHeight="1" x14ac:dyDescent="0.3">
      <c r="A7" s="51" t="s">
        <v>432</v>
      </c>
      <c r="B7" s="54" t="s">
        <v>129</v>
      </c>
      <c r="C7" s="21"/>
      <c r="D7" s="36"/>
      <c r="E7" s="78"/>
      <c r="H7" s="74"/>
    </row>
    <row r="8" spans="1:8" ht="30" customHeight="1" x14ac:dyDescent="0.3">
      <c r="A8" s="51" t="s">
        <v>433</v>
      </c>
      <c r="B8" s="54" t="s">
        <v>430</v>
      </c>
      <c r="C8" s="21"/>
      <c r="D8" s="36"/>
      <c r="E8" s="78"/>
      <c r="H8" s="74"/>
    </row>
    <row r="9" spans="1:8" ht="30" customHeight="1" x14ac:dyDescent="0.3">
      <c r="A9" s="51" t="s">
        <v>434</v>
      </c>
      <c r="B9" s="54" t="s">
        <v>130</v>
      </c>
      <c r="C9" s="21"/>
      <c r="D9" s="36"/>
      <c r="E9" s="78"/>
      <c r="H9" s="74"/>
    </row>
    <row r="10" spans="1:8" ht="79.95" customHeight="1" x14ac:dyDescent="0.3">
      <c r="A10" s="51" t="s">
        <v>3</v>
      </c>
      <c r="B10" s="53" t="s">
        <v>35</v>
      </c>
      <c r="C10" s="21"/>
      <c r="D10" s="6"/>
      <c r="E10" s="25" t="s">
        <v>227</v>
      </c>
      <c r="H10" s="74"/>
    </row>
    <row r="11" spans="1:8" ht="40.200000000000003" customHeight="1" x14ac:dyDescent="0.3">
      <c r="A11" s="51" t="s">
        <v>4</v>
      </c>
      <c r="B11" s="53" t="str">
        <f>IF(D10="ja", "Ist diese Person identisch mit der oben angegebenen?", "")</f>
        <v/>
      </c>
      <c r="C11" s="21"/>
      <c r="D11" s="18"/>
      <c r="E11" s="25" t="s">
        <v>439</v>
      </c>
      <c r="F11" s="81"/>
      <c r="H11" s="74"/>
    </row>
    <row r="12" spans="1:8" ht="102.6" customHeight="1" x14ac:dyDescent="0.3">
      <c r="A12" s="51" t="s">
        <v>5</v>
      </c>
      <c r="B12" s="53" t="str">
        <f>IF(D11="nein", "Bitte geben Sie den Namen und die E-Mail-Adresse der Ansprechperson für die hochschulinterne Koordination der Maßnahmen aus der VzD an.", "")</f>
        <v/>
      </c>
      <c r="C12" s="21"/>
      <c r="D12" s="21"/>
      <c r="E12" s="25" t="s">
        <v>583</v>
      </c>
      <c r="F12" s="81"/>
      <c r="H12" s="74"/>
    </row>
    <row r="13" spans="1:8" ht="30" customHeight="1" x14ac:dyDescent="0.3">
      <c r="A13" s="51" t="s">
        <v>435</v>
      </c>
      <c r="B13" s="54" t="str">
        <f>IF(D11="nein", "Nachname der Ansprechperson", "")</f>
        <v/>
      </c>
      <c r="C13" s="21"/>
      <c r="D13" s="6"/>
      <c r="E13" s="25" t="s">
        <v>440</v>
      </c>
      <c r="F13" s="81"/>
      <c r="H13" s="74"/>
    </row>
    <row r="14" spans="1:8" ht="30" customHeight="1" x14ac:dyDescent="0.3">
      <c r="A14" s="51" t="s">
        <v>436</v>
      </c>
      <c r="B14" s="54" t="str">
        <f>IF(D11="nein", "Vorname der Ansprechperson", "")</f>
        <v/>
      </c>
      <c r="C14" s="21"/>
      <c r="D14" s="6"/>
      <c r="E14" s="25" t="s">
        <v>440</v>
      </c>
      <c r="F14" s="81"/>
      <c r="H14" s="74"/>
    </row>
    <row r="15" spans="1:8" ht="30" customHeight="1" x14ac:dyDescent="0.3">
      <c r="A15" s="51" t="s">
        <v>437</v>
      </c>
      <c r="B15" s="54" t="str">
        <f>IF(D11="nein", "ggf. Titel der Ansprechperson", "")</f>
        <v/>
      </c>
      <c r="C15" s="21"/>
      <c r="D15" s="6"/>
      <c r="E15" s="25" t="s">
        <v>440</v>
      </c>
      <c r="F15" s="81"/>
      <c r="H15" s="74"/>
    </row>
    <row r="16" spans="1:8" ht="30" customHeight="1" x14ac:dyDescent="0.3">
      <c r="A16" s="51" t="s">
        <v>438</v>
      </c>
      <c r="B16" s="54" t="str">
        <f>IF(D11="nein", "E-Mail-Adresse der Ansprechperson", "")</f>
        <v/>
      </c>
      <c r="C16" s="21"/>
      <c r="D16" s="6"/>
      <c r="E16" s="25" t="s">
        <v>440</v>
      </c>
      <c r="F16" s="81"/>
      <c r="H16" s="74"/>
    </row>
    <row r="17" spans="1:8" ht="30" customHeight="1" x14ac:dyDescent="0.3">
      <c r="A17" s="51" t="s">
        <v>504</v>
      </c>
      <c r="B17" s="53" t="s">
        <v>505</v>
      </c>
      <c r="C17" s="21"/>
      <c r="D17" s="6"/>
      <c r="E17" s="25"/>
      <c r="F17" s="81"/>
      <c r="H17" s="74"/>
    </row>
    <row r="18" spans="1:8" ht="30" customHeight="1" x14ac:dyDescent="0.3">
      <c r="A18" s="51" t="s">
        <v>506</v>
      </c>
      <c r="B18" s="54" t="str">
        <f>IF(D17="ja", "Nachname der 2. Ansprechperson", "")</f>
        <v/>
      </c>
      <c r="C18" s="21"/>
      <c r="D18" s="6"/>
      <c r="E18" s="25" t="s">
        <v>600</v>
      </c>
      <c r="F18" s="81"/>
      <c r="H18" s="74"/>
    </row>
    <row r="19" spans="1:8" ht="30" customHeight="1" x14ac:dyDescent="0.3">
      <c r="A19" s="51" t="s">
        <v>507</v>
      </c>
      <c r="B19" s="54" t="str">
        <f>IF(D17="ja", "Vorname der 2. Ansprechperson", "")</f>
        <v/>
      </c>
      <c r="C19" s="21"/>
      <c r="D19" s="6"/>
      <c r="E19" s="25" t="s">
        <v>600</v>
      </c>
      <c r="F19" s="81"/>
      <c r="H19" s="74"/>
    </row>
    <row r="20" spans="1:8" ht="30" customHeight="1" x14ac:dyDescent="0.3">
      <c r="A20" s="51" t="s">
        <v>508</v>
      </c>
      <c r="B20" s="54" t="str">
        <f>IF(D17="ja", "ggf. Titel der 2. Ansprechperson", "")</f>
        <v/>
      </c>
      <c r="C20" s="21"/>
      <c r="D20" s="6"/>
      <c r="E20" s="25" t="s">
        <v>600</v>
      </c>
      <c r="F20" s="81"/>
      <c r="H20" s="74"/>
    </row>
    <row r="21" spans="1:8" ht="30" customHeight="1" x14ac:dyDescent="0.3">
      <c r="A21" s="51" t="s">
        <v>509</v>
      </c>
      <c r="B21" s="54" t="str">
        <f>IF(D17="ja", "E-Mail-Adresse der 2. Ansprechperson", "")</f>
        <v/>
      </c>
      <c r="C21" s="21"/>
      <c r="D21" s="6"/>
      <c r="E21" s="25" t="s">
        <v>600</v>
      </c>
      <c r="F21" s="81"/>
      <c r="H21" s="74"/>
    </row>
    <row r="22" spans="1:8" x14ac:dyDescent="0.3">
      <c r="A22" s="51"/>
      <c r="B22" s="53"/>
      <c r="C22" s="21"/>
      <c r="E22" s="78"/>
      <c r="H22" s="74"/>
    </row>
    <row r="23" spans="1:8" ht="30" customHeight="1" x14ac:dyDescent="0.3">
      <c r="A23" s="51" t="s">
        <v>6</v>
      </c>
      <c r="B23" s="106" t="s">
        <v>36</v>
      </c>
      <c r="C23" s="82"/>
      <c r="D23" s="82"/>
      <c r="E23" s="83"/>
      <c r="F23" s="84"/>
      <c r="G23" s="82"/>
      <c r="H23" s="74"/>
    </row>
    <row r="24" spans="1:8" s="80" customFormat="1" ht="49.95" customHeight="1" x14ac:dyDescent="0.3">
      <c r="A24" s="51" t="s">
        <v>7</v>
      </c>
      <c r="B24" s="53" t="s">
        <v>601</v>
      </c>
      <c r="C24" s="21"/>
      <c r="D24" s="4"/>
      <c r="E24" s="25"/>
      <c r="F24" s="81"/>
      <c r="G24" s="77"/>
      <c r="H24" s="74"/>
    </row>
    <row r="25" spans="1:8" s="80" customFormat="1" ht="60" customHeight="1" x14ac:dyDescent="0.3">
      <c r="A25" s="51" t="s">
        <v>8</v>
      </c>
      <c r="B25" s="53" t="str">
        <f>IF(D24="nein", "Wurde alternativ ein Vorschlagsverfahren durchgeführt? (Das Vorschlagsverfahren ist in dieser Förderlinie nur an Kunst- und Musikhochschulen möglich.)", "")</f>
        <v/>
      </c>
      <c r="C25" s="21"/>
      <c r="D25" s="18"/>
      <c r="E25" s="25" t="s">
        <v>486</v>
      </c>
      <c r="F25" s="85"/>
      <c r="G25" s="107"/>
      <c r="H25" s="74"/>
    </row>
    <row r="26" spans="1:8" ht="93.6" customHeight="1" x14ac:dyDescent="0.3">
      <c r="A26" s="51" t="s">
        <v>9</v>
      </c>
      <c r="B26" s="53" t="str">
        <f>IF(AND(D24="nein", D25="nein"), "Warum wurden die digiFellowships nicht intern ausgeschrieben bzw. warum wurde kein Vorschlagverfahren durchgeführt? Bitte wählen Sie eine oder mehrere der folgenden Antwortoptionen aus und/oder geben weitere Gründe im Freitextfeld an.", "")</f>
        <v/>
      </c>
      <c r="C26" s="21"/>
      <c r="D26" s="62"/>
      <c r="E26" s="25" t="s">
        <v>510</v>
      </c>
      <c r="F26" s="81"/>
      <c r="H26" s="74"/>
    </row>
    <row r="27" spans="1:8" ht="81.599999999999994" customHeight="1" x14ac:dyDescent="0.3">
      <c r="A27" s="51" t="s">
        <v>511</v>
      </c>
      <c r="B27" s="54" t="str">
        <f>IF(AND(D24="nein", D25="nein"), "Das Format passt nicht zur Lehrstruktur der Hochschule.", "")</f>
        <v/>
      </c>
      <c r="C27" s="21"/>
      <c r="D27" s="37"/>
      <c r="E27" s="25"/>
      <c r="F27" s="81"/>
      <c r="H27" s="74"/>
    </row>
    <row r="28" spans="1:8" ht="81.599999999999994" customHeight="1" x14ac:dyDescent="0.3">
      <c r="A28" s="51" t="s">
        <v>513</v>
      </c>
      <c r="B28" s="54" t="str">
        <f>IF(AND(D24="nein", D25="nein"), "Fehlende Personalressourcen für die organisatorische Umsetzung", "")</f>
        <v/>
      </c>
      <c r="C28" s="21"/>
      <c r="D28" s="37"/>
      <c r="E28" s="25"/>
      <c r="F28" s="81"/>
      <c r="H28" s="74"/>
    </row>
    <row r="29" spans="1:8" ht="81.599999999999994" customHeight="1" x14ac:dyDescent="0.3">
      <c r="A29" s="51" t="s">
        <v>512</v>
      </c>
      <c r="B29" s="54" t="str">
        <f>IF(AND(D24="nein", D25="nein"), "andere Gründe (Bitte geben Sie diese im Freitextfeld an.)", "")</f>
        <v/>
      </c>
      <c r="C29" s="21"/>
      <c r="D29" s="37"/>
      <c r="E29" s="25"/>
      <c r="F29" s="81"/>
      <c r="H29" s="74"/>
    </row>
    <row r="30" spans="1:8" ht="60" customHeight="1" x14ac:dyDescent="0.3">
      <c r="A30" s="51" t="s">
        <v>45</v>
      </c>
      <c r="B30" s="53" t="str">
        <f>IF(D24="ja", "Wie viele Ausschreibungsrunden gab es an Ihrer Hochschule zwischen dem 1.7.2020 und dem 31.12.2023?", "")</f>
        <v/>
      </c>
      <c r="C30" s="21"/>
      <c r="D30" s="47"/>
      <c r="E30" s="25" t="s">
        <v>189</v>
      </c>
      <c r="F30" s="85"/>
      <c r="H30" s="74"/>
    </row>
    <row r="31" spans="1:8" s="80" customFormat="1" ht="60" customHeight="1" x14ac:dyDescent="0.3">
      <c r="A31" s="51" t="s">
        <v>47</v>
      </c>
      <c r="B31" s="53" t="str">
        <f>IF(OR(D30=1, D30=2, D30=3,D30=4,D30=5), "Wie groß war der Rücklauf auf die erste Ausschreibung? Bitte geben Sie die Anzahl der eingereichten Anträge in ganzen Zahlen an.", "")</f>
        <v/>
      </c>
      <c r="C31" s="21"/>
      <c r="D31" s="48"/>
      <c r="E31" s="25" t="s">
        <v>595</v>
      </c>
      <c r="F31" s="85"/>
      <c r="G31" s="113" t="s">
        <v>121</v>
      </c>
      <c r="H31" s="74"/>
    </row>
    <row r="32" spans="1:8" ht="60" customHeight="1" x14ac:dyDescent="0.3">
      <c r="A32" s="51" t="s">
        <v>51</v>
      </c>
      <c r="B32" s="53" t="str">
        <f>IF(OR(D30=2, D30=3,D30=4,D30=5), "Wie groß war der Rücklauf auf die zweite Ausschreibung? Bitte geben Sie die Anzahl der eingereichten Anträge in ganzen Zahlen an.", "")</f>
        <v/>
      </c>
      <c r="C32" s="21"/>
      <c r="D32" s="19"/>
      <c r="E32" s="25" t="s">
        <v>596</v>
      </c>
      <c r="F32" s="85"/>
      <c r="G32" s="113"/>
      <c r="H32" s="74"/>
    </row>
    <row r="33" spans="1:8" ht="60" customHeight="1" x14ac:dyDescent="0.3">
      <c r="A33" s="51" t="s">
        <v>131</v>
      </c>
      <c r="B33" s="53" t="str">
        <f>IF(OR(D30=3,D30=4,D30=5), "Wie groß war der Rücklauf auf die dritte Ausschreibung? Bitte geben Sie die Anzahl der eingereichten Anträge in ganzen Zahlen an.", "")</f>
        <v/>
      </c>
      <c r="C33" s="21"/>
      <c r="D33" s="19"/>
      <c r="E33" s="25" t="s">
        <v>597</v>
      </c>
      <c r="F33" s="85"/>
      <c r="G33" s="107"/>
      <c r="H33" s="74"/>
    </row>
    <row r="34" spans="1:8" ht="60" customHeight="1" x14ac:dyDescent="0.3">
      <c r="A34" s="51" t="s">
        <v>132</v>
      </c>
      <c r="B34" s="53" t="str">
        <f>IF(OR(D30=4,D30=5), "Wie groß war der Rücklauf auf die vierte Ausschreibung? Bitte geben Sie die Anzahl der eingereichten Anträge in ganzen Zahlen an.", "")</f>
        <v/>
      </c>
      <c r="C34" s="21"/>
      <c r="D34" s="19"/>
      <c r="E34" s="25" t="s">
        <v>598</v>
      </c>
      <c r="F34" s="85"/>
      <c r="G34" s="107"/>
      <c r="H34" s="74"/>
    </row>
    <row r="35" spans="1:8" ht="60" customHeight="1" x14ac:dyDescent="0.3">
      <c r="A35" s="51" t="s">
        <v>133</v>
      </c>
      <c r="B35" s="53" t="str">
        <f>IF(D30=5, "Wie groß war der Rücklauf auf die fünfte Ausschreibung? Bitte geben Sie die Anzahl der eingereichten Anträge in ganzen Zahlen an.", "")</f>
        <v/>
      </c>
      <c r="C35" s="21"/>
      <c r="D35" s="19"/>
      <c r="E35" s="25" t="s">
        <v>599</v>
      </c>
      <c r="F35" s="85"/>
      <c r="G35" s="107"/>
      <c r="H35" s="74"/>
    </row>
    <row r="36" spans="1:8" ht="100.2" customHeight="1" x14ac:dyDescent="0.3">
      <c r="A36" s="51" t="s">
        <v>134</v>
      </c>
      <c r="B36" s="53" t="str">
        <f>IF(OR(D24="ja", D25="ja"), "Wie erfolgt die Auswahl (Zusammensetzung des Gremiums etc.)?", "")</f>
        <v/>
      </c>
      <c r="C36" s="21"/>
      <c r="D36" s="18"/>
      <c r="E36" s="25" t="s">
        <v>191</v>
      </c>
      <c r="F36" s="85"/>
      <c r="G36" s="107"/>
      <c r="H36" s="74"/>
    </row>
    <row r="37" spans="1:8" ht="100.2" customHeight="1" x14ac:dyDescent="0.3">
      <c r="A37" s="51" t="s">
        <v>135</v>
      </c>
      <c r="B37" s="53" t="str">
        <f>IF(OR(D24="ja", D25="ja"), "Wie erfolgt die Qualitätssicherung der ausgewählten Projekte?", "")</f>
        <v/>
      </c>
      <c r="C37" s="21"/>
      <c r="D37" s="18"/>
      <c r="E37" s="25" t="s">
        <v>191</v>
      </c>
      <c r="F37" s="85"/>
      <c r="G37" s="107"/>
      <c r="H37" s="74"/>
    </row>
    <row r="38" spans="1:8" s="80" customFormat="1" ht="79.95" customHeight="1" x14ac:dyDescent="0.3">
      <c r="A38" s="51" t="s">
        <v>136</v>
      </c>
      <c r="B38" s="53" t="s">
        <v>190</v>
      </c>
      <c r="C38" s="21"/>
      <c r="D38" s="21"/>
      <c r="E38" s="25" t="s">
        <v>228</v>
      </c>
      <c r="F38" s="85"/>
      <c r="G38" s="77"/>
      <c r="H38" s="74"/>
    </row>
    <row r="39" spans="1:8" ht="30" customHeight="1" x14ac:dyDescent="0.3">
      <c r="A39" s="51" t="s">
        <v>514</v>
      </c>
      <c r="B39" s="54" t="s">
        <v>229</v>
      </c>
      <c r="C39" s="21"/>
      <c r="D39" s="18"/>
      <c r="E39" s="25"/>
      <c r="F39" s="85"/>
      <c r="G39" s="107"/>
      <c r="H39" s="74"/>
    </row>
    <row r="40" spans="1:8" ht="30" customHeight="1" x14ac:dyDescent="0.3">
      <c r="A40" s="51" t="s">
        <v>515</v>
      </c>
      <c r="B40" s="54" t="s">
        <v>230</v>
      </c>
      <c r="C40" s="21"/>
      <c r="D40" s="18"/>
      <c r="E40" s="25"/>
      <c r="F40" s="85"/>
      <c r="G40" s="107"/>
      <c r="H40" s="74"/>
    </row>
    <row r="41" spans="1:8" ht="30" customHeight="1" x14ac:dyDescent="0.3">
      <c r="A41" s="51" t="s">
        <v>516</v>
      </c>
      <c r="B41" s="54" t="s">
        <v>231</v>
      </c>
      <c r="C41" s="21"/>
      <c r="D41" s="18"/>
      <c r="E41" s="25"/>
      <c r="F41" s="85"/>
      <c r="G41" s="107"/>
      <c r="H41" s="74"/>
    </row>
    <row r="42" spans="1:8" ht="30" customHeight="1" x14ac:dyDescent="0.3">
      <c r="A42" s="51" t="s">
        <v>517</v>
      </c>
      <c r="B42" s="54" t="s">
        <v>49</v>
      </c>
      <c r="C42" s="21"/>
      <c r="D42" s="18"/>
      <c r="E42" s="25"/>
      <c r="F42" s="85"/>
      <c r="G42" s="107"/>
      <c r="H42" s="74"/>
    </row>
    <row r="43" spans="1:8" ht="49.95" customHeight="1" x14ac:dyDescent="0.3">
      <c r="A43" s="51" t="s">
        <v>137</v>
      </c>
      <c r="B43" s="53" t="s">
        <v>646</v>
      </c>
      <c r="C43" s="21"/>
      <c r="D43" s="4"/>
      <c r="E43" s="78"/>
      <c r="G43" s="107"/>
      <c r="H43" s="74"/>
    </row>
    <row r="44" spans="1:8" ht="49.95" customHeight="1" x14ac:dyDescent="0.3">
      <c r="A44" s="51"/>
      <c r="B44" s="108" t="str">
        <f>IF(OR(D43=1, D43=2, D43=3,D43=4,D43=5,D43=6,D43=7,D43=8), "Bitte geben Sie die Daten der bis zum Stichtag (31.12.2023) ausgewählten Projekte auf dem gesonderten Tabellenblatt (Reiter 'digiFellows') an.", "")</f>
        <v/>
      </c>
      <c r="C44" s="21"/>
      <c r="D44" s="108" t="s">
        <v>632</v>
      </c>
      <c r="E44" s="86" t="s">
        <v>499</v>
      </c>
      <c r="F44" s="85"/>
      <c r="G44" s="107"/>
      <c r="H44" s="74"/>
    </row>
    <row r="45" spans="1:8" ht="139.94999999999999" customHeight="1" x14ac:dyDescent="0.3">
      <c r="A45" s="51" t="s">
        <v>630</v>
      </c>
      <c r="B45" s="53" t="s">
        <v>173</v>
      </c>
      <c r="C45" s="21"/>
      <c r="D45" s="18"/>
      <c r="E45" s="25" t="s">
        <v>186</v>
      </c>
      <c r="F45" s="85"/>
      <c r="G45" s="107"/>
      <c r="H45" s="74"/>
    </row>
    <row r="46" spans="1:8" ht="180" customHeight="1" x14ac:dyDescent="0.3">
      <c r="A46" s="51"/>
      <c r="B46" s="53" t="s">
        <v>232</v>
      </c>
      <c r="C46" s="21"/>
      <c r="D46" s="45" t="s">
        <v>207</v>
      </c>
      <c r="E46" s="78" t="s">
        <v>224</v>
      </c>
      <c r="F46" s="87"/>
      <c r="G46" s="107"/>
      <c r="H46" s="74"/>
    </row>
    <row r="47" spans="1:8" x14ac:dyDescent="0.3">
      <c r="A47" s="51"/>
      <c r="B47" s="53"/>
      <c r="C47" s="21"/>
      <c r="D47" s="80"/>
      <c r="E47" s="78"/>
      <c r="H47" s="74"/>
    </row>
    <row r="48" spans="1:8" ht="30" customHeight="1" x14ac:dyDescent="0.3">
      <c r="A48" s="51" t="s">
        <v>10</v>
      </c>
      <c r="B48" s="106" t="s">
        <v>37</v>
      </c>
      <c r="C48" s="82"/>
      <c r="D48" s="82"/>
      <c r="E48" s="83"/>
      <c r="F48" s="84"/>
      <c r="G48" s="82"/>
      <c r="H48" s="74"/>
    </row>
    <row r="49" spans="1:8" ht="60" customHeight="1" x14ac:dyDescent="0.3">
      <c r="A49" s="51" t="s">
        <v>11</v>
      </c>
      <c r="B49" s="53" t="s">
        <v>647</v>
      </c>
      <c r="C49" s="21"/>
      <c r="D49" s="18"/>
      <c r="E49" s="78"/>
      <c r="H49" s="74"/>
    </row>
    <row r="50" spans="1:8" ht="60" customHeight="1" x14ac:dyDescent="0.3">
      <c r="A50" s="51" t="s">
        <v>12</v>
      </c>
      <c r="B50" s="53" t="str">
        <f>IF(D49="nein", "Wurde alternativ ein Vorschlagsverfahren durchgeführt? (Das Vorschlagsverfahren ist in dieser Förderlinie nur an Kunst- und Musikhochschulen möglich.)", "")</f>
        <v/>
      </c>
      <c r="C50" s="21"/>
      <c r="D50" s="18"/>
      <c r="E50" s="25" t="s">
        <v>192</v>
      </c>
      <c r="F50" s="85"/>
      <c r="G50" s="107"/>
      <c r="H50" s="74"/>
    </row>
    <row r="51" spans="1:8" ht="90.6" customHeight="1" x14ac:dyDescent="0.3">
      <c r="A51" s="51" t="s">
        <v>13</v>
      </c>
      <c r="B51" s="53" t="str">
        <f>IF(AND(D49="nein", D50="nein"), "Warum wurde der Wettbewerb nicht intern ausgeschrieben  bzw. warum wurde kein Vorschlagverfahren durchgeführt? Mehrfachauswahl möglich. Weitere Gründe können im Freitextfeld (3.3.4) angegeben werden.", "")</f>
        <v/>
      </c>
      <c r="C51" s="21"/>
      <c r="D51" s="21"/>
      <c r="E51" s="25" t="s">
        <v>584</v>
      </c>
      <c r="F51" s="81"/>
      <c r="H51" s="74"/>
    </row>
    <row r="52" spans="1:8" ht="60" customHeight="1" x14ac:dyDescent="0.3">
      <c r="A52" s="51" t="s">
        <v>551</v>
      </c>
      <c r="B52" s="54" t="str">
        <f>IF(AND(D49="nein", D50="nein"), "Verwendung der Mittel zur Finanzierung eines inhaltlich verwandten Projekts", "")</f>
        <v/>
      </c>
      <c r="C52" s="21"/>
      <c r="D52" s="18"/>
      <c r="E52" s="25"/>
      <c r="F52" s="81"/>
      <c r="H52" s="74"/>
    </row>
    <row r="53" spans="1:8" ht="60" customHeight="1" x14ac:dyDescent="0.3">
      <c r="A53" s="51" t="s">
        <v>552</v>
      </c>
      <c r="B53" s="54" t="str">
        <f>IF(AND(D49="nein", D50="nein"), "Das Format passt nicht zur Lehrstruktur der Hochschule.", "")</f>
        <v/>
      </c>
      <c r="C53" s="21"/>
      <c r="D53" s="18"/>
      <c r="E53" s="25"/>
      <c r="F53" s="81"/>
      <c r="H53" s="74"/>
    </row>
    <row r="54" spans="1:8" ht="60" customHeight="1" x14ac:dyDescent="0.3">
      <c r="A54" s="51" t="s">
        <v>553</v>
      </c>
      <c r="B54" s="54" t="str">
        <f>IF(AND(D49="nein", D50="nein"), "knappe Personalressourcen", "")</f>
        <v/>
      </c>
      <c r="C54" s="21"/>
      <c r="D54" s="18"/>
      <c r="E54" s="25"/>
      <c r="F54" s="81"/>
      <c r="H54" s="74"/>
    </row>
    <row r="55" spans="1:8" ht="60" customHeight="1" x14ac:dyDescent="0.3">
      <c r="A55" s="51" t="s">
        <v>554</v>
      </c>
      <c r="B55" s="54" t="str">
        <f>IF(AND(D49="nein", D50="nein"), "vorzeitiges Beenden der Förderlinie", "")</f>
        <v/>
      </c>
      <c r="C55" s="21"/>
      <c r="D55" s="18"/>
      <c r="E55" s="25"/>
      <c r="F55" s="81"/>
      <c r="H55" s="74"/>
    </row>
    <row r="56" spans="1:8" ht="60" customHeight="1" x14ac:dyDescent="0.3">
      <c r="A56" s="51" t="s">
        <v>648</v>
      </c>
      <c r="B56" s="54" t="str">
        <f>IF(AND(D49="nein", D50="nein"), "andere Gründe (Bitte geben Sie diese im Freitextfeld an.)", "")</f>
        <v/>
      </c>
      <c r="C56" s="21"/>
      <c r="D56" s="18"/>
      <c r="E56" s="25"/>
      <c r="F56" s="81"/>
      <c r="H56" s="74"/>
    </row>
    <row r="57" spans="1:8" ht="60" customHeight="1" x14ac:dyDescent="0.3">
      <c r="A57" s="51" t="s">
        <v>14</v>
      </c>
      <c r="B57" s="53" t="str">
        <f>IF(D49="ja", "Wie viele Ausschreibungsrunden zu Curriculum 4.0 wurden an Ihrer Hochschule durchgeführt?", "")</f>
        <v/>
      </c>
      <c r="C57" s="21"/>
      <c r="D57" s="4"/>
      <c r="E57" s="25" t="s">
        <v>193</v>
      </c>
      <c r="F57" s="85"/>
      <c r="H57" s="74"/>
    </row>
    <row r="58" spans="1:8" ht="54" customHeight="1" x14ac:dyDescent="0.3">
      <c r="A58" s="51" t="s">
        <v>15</v>
      </c>
      <c r="B58" s="53" t="str">
        <f>IF(OR(D57=1, D57=2, D57=3,D57=4), "Wie groß war der Rücklauf auf die erste Ausschreibung? Bitte geben Sie die Anzahl der eingereichten Anträge in ganzen Zahlen an.", "")</f>
        <v/>
      </c>
      <c r="C58" s="21"/>
      <c r="D58" s="19"/>
      <c r="E58" s="25" t="s">
        <v>262</v>
      </c>
      <c r="F58" s="85"/>
      <c r="G58" s="107"/>
      <c r="H58" s="74"/>
    </row>
    <row r="59" spans="1:8" ht="56.25" customHeight="1" x14ac:dyDescent="0.3">
      <c r="A59" s="51" t="s">
        <v>16</v>
      </c>
      <c r="B59" s="53" t="str">
        <f>IF(OR(D57=2, D57=3,D57=4), "Wie groß war der Rücklauf auf die zweite Ausschreibung? Bitte geben Sie die Anzahl der eingereichten Anträge in ganzen Zahlen an.", "")</f>
        <v/>
      </c>
      <c r="C59" s="21"/>
      <c r="D59" s="19"/>
      <c r="E59" s="25" t="s">
        <v>265</v>
      </c>
      <c r="F59" s="85"/>
      <c r="G59" s="107"/>
      <c r="H59" s="74"/>
    </row>
    <row r="60" spans="1:8" ht="40.200000000000003" customHeight="1" x14ac:dyDescent="0.3">
      <c r="A60" s="51" t="s">
        <v>17</v>
      </c>
      <c r="B60" s="53" t="str">
        <f>IF(OR(D57=3,D57=4), "Wie groß war der Rücklauf auf die dritte Ausschreibung? Bitte geben Sie die Anzahl der eingereichten Anträge in ganzen Zahlen an.", "")</f>
        <v/>
      </c>
      <c r="C60" s="21"/>
      <c r="D60" s="19"/>
      <c r="E60" s="25" t="s">
        <v>264</v>
      </c>
      <c r="F60" s="85"/>
      <c r="G60" s="107"/>
      <c r="H60" s="74"/>
    </row>
    <row r="61" spans="1:8" ht="40.200000000000003" customHeight="1" x14ac:dyDescent="0.3">
      <c r="A61" s="51" t="s">
        <v>18</v>
      </c>
      <c r="B61" s="53" t="str">
        <f>IF(D57=4, "Wie groß war der Rücklauf auf die vierte Ausschreibung? Bitte geben Sie die Anzahl der eingereichten Anträge in ganzen Zahlen an.", "")</f>
        <v/>
      </c>
      <c r="C61" s="21"/>
      <c r="D61" s="19"/>
      <c r="E61" s="25" t="s">
        <v>263</v>
      </c>
      <c r="F61" s="85"/>
      <c r="G61" s="107"/>
      <c r="H61" s="74"/>
    </row>
    <row r="62" spans="1:8" ht="100.2" customHeight="1" x14ac:dyDescent="0.3">
      <c r="A62" s="51" t="s">
        <v>68</v>
      </c>
      <c r="B62" s="53" t="str">
        <f>IF(OR(D49="ja", D50="ja"), "Wie erfolgt die Auswahl (Beschreibung der Zusammensetzung des Gremiums etc.)?", "")</f>
        <v/>
      </c>
      <c r="C62" s="21"/>
      <c r="D62" s="18"/>
      <c r="E62" s="25" t="s">
        <v>194</v>
      </c>
      <c r="F62" s="85"/>
      <c r="G62" s="107"/>
      <c r="H62" s="74"/>
    </row>
    <row r="63" spans="1:8" ht="100.2" customHeight="1" x14ac:dyDescent="0.3">
      <c r="A63" s="51" t="s">
        <v>54</v>
      </c>
      <c r="B63" s="53" t="str">
        <f>IF(OR(D49="ja", D50="ja"), "Wie erfolgt die Qualitätssicherung der ausgewählten Projekte?", "")</f>
        <v/>
      </c>
      <c r="C63" s="21"/>
      <c r="D63" s="18"/>
      <c r="E63" s="25" t="s">
        <v>194</v>
      </c>
      <c r="F63" s="85"/>
      <c r="G63" s="107"/>
      <c r="H63" s="74"/>
    </row>
    <row r="64" spans="1:8" ht="79.95" customHeight="1" x14ac:dyDescent="0.3">
      <c r="A64" s="51" t="s">
        <v>55</v>
      </c>
      <c r="B64" s="53" t="s">
        <v>48</v>
      </c>
      <c r="C64" s="21"/>
      <c r="D64" s="53"/>
      <c r="E64" s="25" t="s">
        <v>228</v>
      </c>
      <c r="F64" s="85"/>
      <c r="G64" s="107"/>
      <c r="H64" s="74"/>
    </row>
    <row r="65" spans="1:8" ht="40.200000000000003" customHeight="1" x14ac:dyDescent="0.3">
      <c r="A65" s="51" t="s">
        <v>266</v>
      </c>
      <c r="B65" s="54" t="s">
        <v>229</v>
      </c>
      <c r="C65" s="21"/>
      <c r="D65" s="18"/>
      <c r="E65" s="25"/>
      <c r="F65" s="85"/>
      <c r="G65" s="107"/>
      <c r="H65" s="74"/>
    </row>
    <row r="66" spans="1:8" ht="40.200000000000003" customHeight="1" x14ac:dyDescent="0.3">
      <c r="A66" s="51" t="s">
        <v>267</v>
      </c>
      <c r="B66" s="54" t="s">
        <v>230</v>
      </c>
      <c r="C66" s="21"/>
      <c r="D66" s="18"/>
      <c r="E66" s="25"/>
      <c r="F66" s="85"/>
      <c r="G66" s="107"/>
      <c r="H66" s="74"/>
    </row>
    <row r="67" spans="1:8" ht="40.200000000000003" customHeight="1" x14ac:dyDescent="0.3">
      <c r="A67" s="51" t="s">
        <v>268</v>
      </c>
      <c r="B67" s="54" t="s">
        <v>231</v>
      </c>
      <c r="C67" s="21"/>
      <c r="D67" s="18"/>
      <c r="E67" s="25"/>
      <c r="F67" s="85"/>
      <c r="G67" s="107"/>
      <c r="H67" s="74"/>
    </row>
    <row r="68" spans="1:8" ht="40.200000000000003" customHeight="1" x14ac:dyDescent="0.3">
      <c r="A68" s="51" t="s">
        <v>269</v>
      </c>
      <c r="B68" s="54" t="s">
        <v>49</v>
      </c>
      <c r="C68" s="21"/>
      <c r="D68" s="18"/>
      <c r="E68" s="25"/>
      <c r="F68" s="85"/>
      <c r="G68" s="107"/>
      <c r="H68" s="74"/>
    </row>
    <row r="69" spans="1:8" ht="49.95" customHeight="1" x14ac:dyDescent="0.3">
      <c r="A69" s="51" t="s">
        <v>56</v>
      </c>
      <c r="B69" s="53" t="s">
        <v>649</v>
      </c>
      <c r="C69" s="21"/>
      <c r="D69" s="4"/>
      <c r="E69" s="78"/>
      <c r="G69" s="107"/>
      <c r="H69" s="74"/>
    </row>
    <row r="70" spans="1:8" ht="50.4" customHeight="1" x14ac:dyDescent="0.3">
      <c r="A70" s="51"/>
      <c r="B70" s="108" t="str">
        <f>IF(OR(D69=1, D69=2,D69=3,D69=4,D69=5,D69=6,D69=7,D69=8), "Bitte geben Sie die Daten der bis zum Stichtag (31.12.2022) ausgewählten Projekte auf dem gesonderten Tabellenblatt (Reiter 'Curriculum') an.", "")</f>
        <v/>
      </c>
      <c r="C70" s="21"/>
      <c r="D70" s="108" t="s">
        <v>496</v>
      </c>
      <c r="E70" s="86" t="s">
        <v>497</v>
      </c>
      <c r="F70" s="85"/>
      <c r="G70" s="107"/>
      <c r="H70" s="74"/>
    </row>
    <row r="71" spans="1:8" ht="139.94999999999999" customHeight="1" x14ac:dyDescent="0.3">
      <c r="A71" s="51" t="s">
        <v>479</v>
      </c>
      <c r="B71" s="53" t="s">
        <v>175</v>
      </c>
      <c r="C71" s="21"/>
      <c r="D71" s="37"/>
      <c r="E71" s="25" t="s">
        <v>186</v>
      </c>
      <c r="F71" s="85"/>
      <c r="G71" s="107"/>
      <c r="H71" s="74"/>
    </row>
    <row r="72" spans="1:8" ht="180" customHeight="1" x14ac:dyDescent="0.3">
      <c r="A72" s="51"/>
      <c r="B72" s="53" t="s">
        <v>480</v>
      </c>
      <c r="C72" s="21"/>
      <c r="D72" s="45" t="s">
        <v>208</v>
      </c>
      <c r="E72" s="78" t="s">
        <v>225</v>
      </c>
      <c r="H72" s="74"/>
    </row>
    <row r="73" spans="1:8" x14ac:dyDescent="0.3">
      <c r="A73" s="51"/>
      <c r="B73" s="53"/>
      <c r="C73" s="21"/>
      <c r="D73" s="80"/>
      <c r="E73" s="78"/>
      <c r="H73" s="74"/>
    </row>
    <row r="74" spans="1:8" ht="30" customHeight="1" x14ac:dyDescent="0.3">
      <c r="A74" s="51" t="s">
        <v>19</v>
      </c>
      <c r="B74" s="106" t="s">
        <v>409</v>
      </c>
      <c r="C74" s="82"/>
      <c r="D74" s="82"/>
      <c r="E74" s="83"/>
      <c r="F74" s="84"/>
      <c r="G74" s="82"/>
      <c r="H74" s="74"/>
    </row>
    <row r="75" spans="1:8" ht="120" customHeight="1" x14ac:dyDescent="0.3">
      <c r="A75" s="51"/>
      <c r="B75" s="88" t="s">
        <v>410</v>
      </c>
      <c r="C75" s="17"/>
      <c r="D75" s="46"/>
      <c r="E75" s="25" t="s">
        <v>487</v>
      </c>
      <c r="F75" s="89"/>
      <c r="G75" s="90"/>
      <c r="H75" s="74"/>
    </row>
    <row r="76" spans="1:8" ht="78" customHeight="1" x14ac:dyDescent="0.3">
      <c r="A76" s="51" t="s">
        <v>20</v>
      </c>
      <c r="B76" s="76" t="s">
        <v>575</v>
      </c>
      <c r="C76" s="17"/>
      <c r="D76" s="46"/>
      <c r="E76" s="25"/>
      <c r="F76" s="89"/>
      <c r="G76" s="90"/>
      <c r="H76" s="74"/>
    </row>
    <row r="77" spans="1:8" ht="40.049999999999997" customHeight="1" x14ac:dyDescent="0.3">
      <c r="A77" s="51" t="s">
        <v>576</v>
      </c>
      <c r="B77" s="91" t="s">
        <v>229</v>
      </c>
      <c r="C77" s="17"/>
      <c r="D77" s="63"/>
      <c r="E77" s="25"/>
      <c r="F77" s="89"/>
      <c r="G77" s="90"/>
      <c r="H77" s="74"/>
    </row>
    <row r="78" spans="1:8" ht="40.049999999999997" customHeight="1" x14ac:dyDescent="0.3">
      <c r="A78" s="51" t="s">
        <v>577</v>
      </c>
      <c r="B78" s="91" t="s">
        <v>231</v>
      </c>
      <c r="C78" s="17"/>
      <c r="D78" s="63"/>
      <c r="E78" s="25"/>
      <c r="F78" s="89"/>
      <c r="G78" s="90"/>
      <c r="H78" s="74"/>
    </row>
    <row r="79" spans="1:8" ht="40.049999999999997" customHeight="1" x14ac:dyDescent="0.3">
      <c r="A79" s="51" t="s">
        <v>578</v>
      </c>
      <c r="B79" s="91" t="s">
        <v>230</v>
      </c>
      <c r="C79" s="17"/>
      <c r="D79" s="63"/>
      <c r="E79" s="25"/>
      <c r="F79" s="89"/>
      <c r="G79" s="90"/>
      <c r="H79" s="74"/>
    </row>
    <row r="80" spans="1:8" ht="40.049999999999997" customHeight="1" x14ac:dyDescent="0.3">
      <c r="A80" s="51" t="s">
        <v>579</v>
      </c>
      <c r="B80" s="91" t="s">
        <v>49</v>
      </c>
      <c r="C80" s="17"/>
      <c r="D80" s="63"/>
      <c r="E80" s="25"/>
      <c r="F80" s="89"/>
      <c r="G80" s="90"/>
      <c r="H80" s="74"/>
    </row>
    <row r="81" spans="1:8" ht="124.2" customHeight="1" x14ac:dyDescent="0.3">
      <c r="A81" s="51" t="s">
        <v>21</v>
      </c>
      <c r="B81" s="76" t="s">
        <v>580</v>
      </c>
      <c r="C81" s="17"/>
      <c r="D81" s="26"/>
      <c r="E81" s="25" t="s">
        <v>817</v>
      </c>
      <c r="F81" s="89"/>
      <c r="G81" s="90"/>
      <c r="H81" s="74"/>
    </row>
    <row r="82" spans="1:8" ht="124.2" customHeight="1" x14ac:dyDescent="0.3">
      <c r="A82" s="51" t="s">
        <v>22</v>
      </c>
      <c r="B82" s="76" t="str">
        <f>IF(OR(D81="Umsetzung begonnen",D81="Umsetzung in Planung"), "Ist die technische Machbarkeit der der vollständig medienbruchfreien Online-Bewerbung, -Zulassung und -Einschreibung an Ihrer Hochschule bis spätestens zum 31.12.2023 realisiert worden?.", "")</f>
        <v/>
      </c>
      <c r="C82" s="17"/>
      <c r="D82" s="26"/>
      <c r="E82" s="25" t="s">
        <v>818</v>
      </c>
      <c r="F82" s="89"/>
      <c r="G82" s="90"/>
      <c r="H82" s="74"/>
    </row>
    <row r="83" spans="1:8" ht="79.8" customHeight="1" x14ac:dyDescent="0.3">
      <c r="A83" s="51" t="s">
        <v>23</v>
      </c>
      <c r="B83" s="76" t="str">
        <f>IF(OR(D81="Umsetzung begonnen",D81="Umsetzung in Planung"), "Bitte geben Sie den tatsächlichen oder voraussichtlichen Zeitverzug in Monaten an, gerechnet vom Stichtag 31.12.2022. (Geben Sie bitte eine ganze Zahl zum voraussichtlichen Verzug in Monaten an und kein Intervall.)", "")</f>
        <v/>
      </c>
      <c r="C83" s="17"/>
      <c r="D83" s="31"/>
      <c r="E83" s="25" t="s">
        <v>581</v>
      </c>
      <c r="F83" s="89"/>
      <c r="G83" s="90"/>
      <c r="H83" s="74"/>
    </row>
    <row r="84" spans="1:8" ht="96.6" customHeight="1" x14ac:dyDescent="0.3">
      <c r="A84" s="51" t="s">
        <v>411</v>
      </c>
      <c r="B84" s="76" t="str">
        <f>IF(OR(D81="Umsetzung begonnen",D81="Umsetzung in Planung"), "Bitte geben Sie die Gründe für die Verzögerung in der technischen Umsetzung an.", "")</f>
        <v/>
      </c>
      <c r="C84" s="17"/>
      <c r="D84" s="32"/>
      <c r="E84" s="25" t="s">
        <v>692</v>
      </c>
      <c r="F84" s="89"/>
      <c r="G84" s="90"/>
      <c r="H84" s="74"/>
    </row>
    <row r="85" spans="1:8" ht="84" customHeight="1" x14ac:dyDescent="0.3">
      <c r="A85" s="51" t="s">
        <v>650</v>
      </c>
      <c r="B85" s="91" t="str">
        <f>IF(OR(D81="Umsetzung begonnen",D81="Umsetzung in Planung"), "Dauer der technischen Umsetzung (z.B. Bereitstellung der erforderlichen Funktionalitäten seitens des CaMS-Anbieters und anschließende Implementierung an der Hochschule)", "")</f>
        <v/>
      </c>
      <c r="C85" s="17"/>
      <c r="D85" s="38"/>
      <c r="E85" s="25"/>
      <c r="F85" s="89"/>
      <c r="G85" s="90"/>
      <c r="H85" s="74"/>
    </row>
    <row r="86" spans="1:8" ht="61.2" customHeight="1" x14ac:dyDescent="0.3">
      <c r="A86" s="51" t="s">
        <v>651</v>
      </c>
      <c r="B86" s="91" t="str">
        <f>IF(OR(D81="Umsetzung begonnen",D81="Umsetzung in Planung"), "technische Voraussetzungen/Anforderungen (Standards, Schnittstellen) unklar", "")</f>
        <v/>
      </c>
      <c r="C86" s="17"/>
      <c r="D86" s="38"/>
      <c r="E86" s="25"/>
      <c r="F86" s="89"/>
      <c r="G86" s="90"/>
      <c r="H86" s="74"/>
    </row>
    <row r="87" spans="1:8" ht="46.2" customHeight="1" x14ac:dyDescent="0.3">
      <c r="A87" s="51" t="s">
        <v>652</v>
      </c>
      <c r="B87" s="91" t="str">
        <f>IF(OR(D81="Umsetzung begonnen",D81="Umsetzung in Planung"), "Online-Bezahlfunktion noch unklar", "")</f>
        <v/>
      </c>
      <c r="C87" s="17"/>
      <c r="D87" s="38"/>
      <c r="E87" s="25"/>
      <c r="F87" s="89"/>
      <c r="G87" s="90"/>
      <c r="H87" s="74"/>
    </row>
    <row r="88" spans="1:8" ht="42" customHeight="1" x14ac:dyDescent="0.3">
      <c r="A88" s="51" t="s">
        <v>653</v>
      </c>
      <c r="B88" s="91" t="str">
        <f>IF(OR(D81="Umsetzung begonnen",D81="Umsetzung in Planung"), "Personalmangel in der Fachabteilung", "")</f>
        <v/>
      </c>
      <c r="C88" s="17"/>
      <c r="D88" s="38"/>
      <c r="E88" s="25"/>
      <c r="F88" s="89"/>
      <c r="G88" s="90"/>
      <c r="H88" s="74"/>
    </row>
    <row r="89" spans="1:8" ht="78.599999999999994" customHeight="1" x14ac:dyDescent="0.3">
      <c r="A89" s="51" t="s">
        <v>654</v>
      </c>
      <c r="B89" s="91" t="str">
        <f>IF(OR(D81="Umsetzung begonnen",D81="Umsetzung in Planung"), "vollständiger Wechsel des CaMS (weil Anpassung der aktuell verwendeten Lösung zu aufwendig) oder erstmalige Einführung eines CaMS", "")</f>
        <v/>
      </c>
      <c r="C89" s="17"/>
      <c r="D89" s="38"/>
      <c r="E89" s="25"/>
      <c r="F89" s="89"/>
      <c r="G89" s="90"/>
      <c r="H89" s="74"/>
    </row>
    <row r="90" spans="1:8" ht="70.8" customHeight="1" x14ac:dyDescent="0.3">
      <c r="A90" s="51" t="s">
        <v>655</v>
      </c>
      <c r="B90" s="91" t="str">
        <f>IF(OR(D81="Umsetzung begonnen",D81="Umsetzung in Planung"), "Anpassungen im verwendeten Bewerbungssystem erforderlich", "")</f>
        <v/>
      </c>
      <c r="C90" s="17"/>
      <c r="D90" s="38"/>
      <c r="E90" s="25"/>
      <c r="F90" s="89"/>
      <c r="G90" s="90"/>
      <c r="H90" s="74"/>
    </row>
    <row r="91" spans="1:8" ht="70.8" customHeight="1" x14ac:dyDescent="0.3">
      <c r="A91" s="51" t="s">
        <v>656</v>
      </c>
      <c r="B91" s="91" t="str">
        <f>IF(OR(D81="Umsetzung begonnen",D81="Umsetzung in Planung"), "keine Umstellung in der laufenden Bewerbungskampagne SoSe 23", "")</f>
        <v/>
      </c>
      <c r="C91" s="17"/>
      <c r="D91" s="38"/>
      <c r="E91" s="25"/>
      <c r="F91" s="89"/>
      <c r="G91" s="90"/>
      <c r="H91" s="74"/>
    </row>
    <row r="92" spans="1:8" ht="70.8" customHeight="1" x14ac:dyDescent="0.3">
      <c r="A92" s="51" t="s">
        <v>657</v>
      </c>
      <c r="B92" s="91" t="str">
        <f>IF(OR(D81="Umsetzung begonnen",D81="Umsetzung in Planung"), "Medienbruch, weil Originale erforderlich (Zeugnisse, Ausweisdokumente, unterzeichneter Antrag o.ä.)", "")</f>
        <v/>
      </c>
      <c r="C92" s="17"/>
      <c r="D92" s="38"/>
      <c r="E92" s="25"/>
      <c r="F92" s="89"/>
      <c r="G92" s="90"/>
      <c r="H92" s="74"/>
    </row>
    <row r="93" spans="1:8" ht="70.8" customHeight="1" x14ac:dyDescent="0.3">
      <c r="A93" s="51" t="s">
        <v>658</v>
      </c>
      <c r="B93" s="91" t="str">
        <f>IF(OR(D81="Umsetzung begonnen",D81="Umsetzung in Planung"), "kurzfristiger Dienstleisterwechsel", "")</f>
        <v/>
      </c>
      <c r="C93" s="17"/>
      <c r="D93" s="38"/>
      <c r="E93" s="25"/>
      <c r="F93" s="89"/>
      <c r="G93" s="90"/>
      <c r="H93" s="74"/>
    </row>
    <row r="94" spans="1:8" ht="70.8" customHeight="1" x14ac:dyDescent="0.3">
      <c r="A94" s="51" t="s">
        <v>659</v>
      </c>
      <c r="B94" s="91" t="str">
        <f>IF(OR(D81="Umsetzung begonnen",D81="Umsetzung in Planung"), "Anpassung interner Prozesse erforderlich", "")</f>
        <v/>
      </c>
      <c r="C94" s="17"/>
      <c r="D94" s="38"/>
      <c r="E94" s="25"/>
      <c r="F94" s="89"/>
      <c r="G94" s="90"/>
      <c r="H94" s="74"/>
    </row>
    <row r="95" spans="1:8" ht="60" customHeight="1" x14ac:dyDescent="0.3">
      <c r="A95" s="51" t="s">
        <v>660</v>
      </c>
      <c r="B95" s="91" t="str">
        <f>IF(OR(D81="Umsetzung begonnen",D81="Umsetzung in Planung"), "andere Gründe (Bitte nutzen Sie das Freitextfeld.)", "")</f>
        <v/>
      </c>
      <c r="C95" s="17"/>
      <c r="D95" s="38"/>
      <c r="E95" s="25"/>
      <c r="F95" s="89"/>
      <c r="G95" s="90"/>
      <c r="H95" s="74"/>
    </row>
    <row r="96" spans="1:8" ht="75" customHeight="1" x14ac:dyDescent="0.3">
      <c r="A96" s="51" t="s">
        <v>412</v>
      </c>
      <c r="B96" s="76" t="s">
        <v>662</v>
      </c>
      <c r="C96" s="17"/>
      <c r="D96" s="38"/>
      <c r="E96" s="25" t="s">
        <v>819</v>
      </c>
      <c r="F96" s="89"/>
      <c r="G96" s="90"/>
      <c r="H96" s="74"/>
    </row>
    <row r="97" spans="1:8" ht="60" customHeight="1" x14ac:dyDescent="0.3">
      <c r="A97" s="51" t="s">
        <v>413</v>
      </c>
      <c r="B97" s="76" t="s">
        <v>663</v>
      </c>
      <c r="C97" s="17"/>
      <c r="D97" s="38"/>
      <c r="E97" s="25" t="s">
        <v>819</v>
      </c>
      <c r="F97" s="89"/>
      <c r="G97" s="90"/>
      <c r="H97" s="74"/>
    </row>
    <row r="98" spans="1:8" ht="79.95" customHeight="1" x14ac:dyDescent="0.3">
      <c r="A98" s="51" t="s">
        <v>414</v>
      </c>
      <c r="B98" s="76" t="s">
        <v>661</v>
      </c>
      <c r="C98" s="17"/>
      <c r="D98" s="27"/>
      <c r="E98" s="25" t="s">
        <v>585</v>
      </c>
      <c r="F98" s="89"/>
      <c r="G98" s="90"/>
      <c r="H98" s="74"/>
    </row>
    <row r="99" spans="1:8" ht="78.75" customHeight="1" x14ac:dyDescent="0.3">
      <c r="A99" s="51" t="s">
        <v>415</v>
      </c>
      <c r="B99" s="76" t="str">
        <f>IF(D98="ja", "Um welche Art von Ausnahmen handelt es sich?
Bitte wählen Sie aus den folgenden Antwortoptionen aus (Mehrfachauswahl möglich) und/oder geben Sie andere Ausnahmen in dem Freitextfeld an.", "")</f>
        <v/>
      </c>
      <c r="C99" s="17"/>
      <c r="D99" s="32"/>
      <c r="E99" s="25" t="s">
        <v>820</v>
      </c>
      <c r="F99" s="89"/>
      <c r="G99" s="90"/>
      <c r="H99" s="74"/>
    </row>
    <row r="100" spans="1:8" ht="79.95" customHeight="1" x14ac:dyDescent="0.3">
      <c r="A100" s="51" t="s">
        <v>664</v>
      </c>
      <c r="B100" s="91" t="str">
        <f>IF(D98="ja", "Nachweise (also Zeugnisse o.ä.) müssen grundsätzlich weiterhin physisch (im Original oder als beglaubigte Kopie) eingereicht werden.", "")</f>
        <v/>
      </c>
      <c r="C100" s="17"/>
      <c r="D100" s="31"/>
      <c r="E100" s="25"/>
      <c r="F100" s="89"/>
      <c r="G100" s="90"/>
      <c r="H100" s="74"/>
    </row>
    <row r="101" spans="1:8" ht="79.95" customHeight="1" x14ac:dyDescent="0.3">
      <c r="A101" s="51" t="s">
        <v>665</v>
      </c>
      <c r="B101" s="91" t="str">
        <f>IF(D98="ja", "Bestimmte Studierendengruppen sind ausgenommen (z.B. Studienbewerber*innen aus ausländischen Bildungssystemen, Gasthörer*innen usw.).", "")</f>
        <v/>
      </c>
      <c r="C101" s="17"/>
      <c r="D101" s="31"/>
      <c r="E101" s="25"/>
      <c r="F101" s="89"/>
      <c r="G101" s="90"/>
      <c r="H101" s="74"/>
    </row>
    <row r="102" spans="1:8" ht="89.25" customHeight="1" x14ac:dyDescent="0.3">
      <c r="A102" s="51" t="s">
        <v>666</v>
      </c>
      <c r="B102" s="91" t="str">
        <f>IF(D98="ja", "Bestimmte Studiengänge sind ausgenommen, etwa zahlungspflichtige Weiterbildungsstudiengänge oder auch Studiengänge, deren Zulassungsverfahren Aufnahmeprüfungen in physischer Präsenz oder eine 'Bewerbungsmappe' als physisches Objekt vorsehen.","")</f>
        <v/>
      </c>
      <c r="C102" s="17"/>
      <c r="D102" s="31"/>
      <c r="E102" s="25"/>
      <c r="F102" s="89"/>
      <c r="G102" s="90"/>
      <c r="H102" s="74"/>
    </row>
    <row r="103" spans="1:8" ht="89.25" customHeight="1" x14ac:dyDescent="0.3">
      <c r="A103" s="51" t="s">
        <v>667</v>
      </c>
      <c r="B103" s="91" t="str">
        <f>IF(D98="ja", "stichprobenartige Überprüfung von Zeugnissen","")</f>
        <v/>
      </c>
      <c r="C103" s="17"/>
      <c r="D103" s="31"/>
      <c r="E103" s="25"/>
      <c r="F103" s="89"/>
      <c r="G103" s="90"/>
      <c r="H103" s="74"/>
    </row>
    <row r="104" spans="1:8" ht="53.4" customHeight="1" x14ac:dyDescent="0.3">
      <c r="A104" s="51" t="s">
        <v>668</v>
      </c>
      <c r="B104" s="91" t="str">
        <f>IF(D98="ja", "Im Prozess sind nicht-digitale, interne Formulare vorgesehen, deren Unterzeichnung erforderlich ist.","")</f>
        <v/>
      </c>
      <c r="C104" s="17"/>
      <c r="D104" s="31"/>
      <c r="E104" s="25"/>
      <c r="F104" s="89"/>
      <c r="G104" s="90"/>
      <c r="H104" s="74"/>
    </row>
    <row r="105" spans="1:8" ht="52.8" customHeight="1" x14ac:dyDescent="0.3">
      <c r="A105" s="51" t="s">
        <v>669</v>
      </c>
      <c r="B105" s="91" t="str">
        <f>IF(D98="ja", "Das Losverfahren ist noch nicht digitalisiert.","")</f>
        <v/>
      </c>
      <c r="C105" s="17"/>
      <c r="D105" s="31"/>
      <c r="E105" s="25"/>
      <c r="F105" s="89"/>
      <c r="G105" s="90"/>
      <c r="H105" s="74"/>
    </row>
    <row r="106" spans="1:8" ht="52.8" customHeight="1" x14ac:dyDescent="0.3">
      <c r="A106" s="51" t="s">
        <v>671</v>
      </c>
      <c r="B106" s="91" t="str">
        <f>IF(D98="ja", "Bezahlung (noch kein E-Payment)","")</f>
        <v/>
      </c>
      <c r="C106" s="17"/>
      <c r="D106" s="31"/>
      <c r="E106" s="25"/>
      <c r="F106" s="89"/>
      <c r="G106" s="90"/>
      <c r="H106" s="74"/>
    </row>
    <row r="107" spans="1:8" ht="52.8" customHeight="1" x14ac:dyDescent="0.3">
      <c r="A107" s="51" t="s">
        <v>672</v>
      </c>
      <c r="B107" s="91" t="str">
        <f>IF(D98="ja", "Einwilligung der Erziehungsberechtigten bei minderjährigen Studierenden im Original","")</f>
        <v/>
      </c>
      <c r="C107" s="17"/>
      <c r="D107" s="31"/>
      <c r="E107" s="25"/>
      <c r="F107" s="89"/>
      <c r="G107" s="90"/>
      <c r="H107" s="74"/>
    </row>
    <row r="108" spans="1:8" ht="52.8" customHeight="1" x14ac:dyDescent="0.3">
      <c r="A108" s="51" t="s">
        <v>673</v>
      </c>
      <c r="B108" s="91" t="str">
        <f>IF(D98="ja", "Anpassung von Prozessen, wenn mehrere Organisationseinheiten beteiligt sind","")</f>
        <v/>
      </c>
      <c r="C108" s="17"/>
      <c r="D108" s="31"/>
      <c r="E108" s="25"/>
      <c r="F108" s="89"/>
      <c r="G108" s="90"/>
      <c r="H108" s="74"/>
    </row>
    <row r="109" spans="1:8" ht="52.8" customHeight="1" x14ac:dyDescent="0.3">
      <c r="A109" s="51" t="s">
        <v>674</v>
      </c>
      <c r="B109" s="91" t="str">
        <f>IF(D98="ja", "Personalmangel wegen zeitgleicher zusätzlicher Belastungen","")</f>
        <v/>
      </c>
      <c r="C109" s="17"/>
      <c r="D109" s="31"/>
      <c r="E109" s="25"/>
      <c r="F109" s="89"/>
      <c r="G109" s="90"/>
      <c r="H109" s="74"/>
    </row>
    <row r="110" spans="1:8" ht="52.8" customHeight="1" x14ac:dyDescent="0.3">
      <c r="A110" s="51" t="s">
        <v>675</v>
      </c>
      <c r="B110" s="91" t="str">
        <f>IF(D98="ja", "noch keine Anbindung eines Nutzerkontos","")</f>
        <v/>
      </c>
      <c r="C110" s="17"/>
      <c r="D110" s="31"/>
      <c r="E110" s="25"/>
      <c r="F110" s="89"/>
      <c r="G110" s="90"/>
      <c r="H110" s="74"/>
    </row>
    <row r="111" spans="1:8" ht="79.95" customHeight="1" x14ac:dyDescent="0.3">
      <c r="A111" s="51" t="s">
        <v>670</v>
      </c>
      <c r="B111" s="91" t="str">
        <f>IF(D98="ja", "andere Ausnahmen (Bitte Freitextfeld nutzen.)", "")</f>
        <v/>
      </c>
      <c r="C111" s="17"/>
      <c r="D111" s="38"/>
      <c r="E111" s="25"/>
      <c r="F111" s="89"/>
      <c r="G111" s="90"/>
      <c r="H111" s="74"/>
    </row>
    <row r="112" spans="1:8" ht="98.4" customHeight="1" x14ac:dyDescent="0.3">
      <c r="A112" s="51" t="s">
        <v>416</v>
      </c>
      <c r="B112" s="76" t="s">
        <v>676</v>
      </c>
      <c r="C112" s="17"/>
      <c r="D112" s="27"/>
      <c r="E112" s="25" t="s">
        <v>488</v>
      </c>
      <c r="F112" s="89"/>
      <c r="G112" s="90"/>
      <c r="H112" s="74"/>
    </row>
    <row r="113" spans="1:8" ht="79.95" customHeight="1" x14ac:dyDescent="0.3">
      <c r="A113" s="51" t="s">
        <v>417</v>
      </c>
      <c r="B113" s="76" t="str">
        <f>IF(D112="ja", "Bitte nennen Sie die Hindernisse (siehe Frage 4.7). Wählen Sie dazu die passenden Optionen aus den folgenden Antwortmöglichkeiten aus und/oder ergänzen weitere Hindernisse im Freitextfeld.", "")</f>
        <v/>
      </c>
      <c r="C113" s="17"/>
      <c r="D113" s="95"/>
      <c r="E113" s="25" t="s">
        <v>821</v>
      </c>
      <c r="F113" s="89"/>
      <c r="G113" s="90"/>
      <c r="H113" s="74"/>
    </row>
    <row r="114" spans="1:8" ht="79.95" customHeight="1" x14ac:dyDescent="0.3">
      <c r="A114" s="51" t="s">
        <v>677</v>
      </c>
      <c r="B114" s="91" t="str">
        <f>IF(D112="ja", "Anpassung des CaMs seitens Anbieter (Schnittstellen und Anpassung an die Anforderungen der einzelnen Hochschulen)", "")</f>
        <v/>
      </c>
      <c r="C114" s="17"/>
      <c r="D114" s="38"/>
      <c r="E114" s="25"/>
      <c r="F114" s="89"/>
      <c r="G114" s="90"/>
      <c r="H114" s="74"/>
    </row>
    <row r="115" spans="1:8" ht="79.95" customHeight="1" x14ac:dyDescent="0.3">
      <c r="A115" s="51" t="s">
        <v>678</v>
      </c>
      <c r="B115" s="91" t="str">
        <f>IF(D112="ja", "Klärung der technischen Anforderungen (Standards und Schnittstellen)", "")</f>
        <v/>
      </c>
      <c r="C115" s="17"/>
      <c r="D115" s="38"/>
      <c r="E115" s="25"/>
      <c r="F115" s="89"/>
      <c r="G115" s="90"/>
      <c r="H115" s="74"/>
    </row>
    <row r="116" spans="1:8" ht="79.95" customHeight="1" x14ac:dyDescent="0.3">
      <c r="A116" s="51" t="s">
        <v>679</v>
      </c>
      <c r="B116" s="91" t="str">
        <f>IF(D112="ja", "Klärung der Einbindung von E-Payment", "")</f>
        <v/>
      </c>
      <c r="C116" s="17"/>
      <c r="D116" s="38"/>
      <c r="E116" s="25"/>
      <c r="F116" s="89"/>
      <c r="G116" s="90"/>
      <c r="H116" s="74"/>
    </row>
    <row r="117" spans="1:8" ht="79.95" customHeight="1" x14ac:dyDescent="0.3">
      <c r="A117" s="51" t="s">
        <v>680</v>
      </c>
      <c r="B117" s="91" t="str">
        <f>IF(D112="ja", "rechtliche Klärung der digitalen Nachweise", "")</f>
        <v/>
      </c>
      <c r="C117" s="17"/>
      <c r="D117" s="38"/>
      <c r="E117" s="25"/>
      <c r="F117" s="89"/>
      <c r="G117" s="90"/>
      <c r="H117" s="74"/>
    </row>
    <row r="118" spans="1:8" ht="79.95" customHeight="1" x14ac:dyDescent="0.3">
      <c r="A118" s="51" t="s">
        <v>681</v>
      </c>
      <c r="B118" s="91" t="str">
        <f>IF(D112="ja", "digitale Nachweise älterer Hochschulzugangsberechtigungen", "")</f>
        <v/>
      </c>
      <c r="C118" s="17"/>
      <c r="D118" s="38"/>
      <c r="E118" s="25"/>
      <c r="F118" s="89"/>
      <c r="G118" s="90"/>
      <c r="H118" s="74"/>
    </row>
    <row r="119" spans="1:8" ht="79.95" customHeight="1" x14ac:dyDescent="0.3">
      <c r="A119" s="51" t="s">
        <v>682</v>
      </c>
      <c r="B119" s="91" t="str">
        <f>IF(D112="ja", "uneinheitliche internationale Regelungen und Systeme für die digitale Überprüfung von Identitäten", "")</f>
        <v/>
      </c>
      <c r="C119" s="17"/>
      <c r="D119" s="38"/>
      <c r="E119" s="25"/>
      <c r="F119" s="89"/>
      <c r="G119" s="90"/>
      <c r="H119" s="74"/>
    </row>
    <row r="120" spans="1:8" ht="79.95" customHeight="1" x14ac:dyDescent="0.3">
      <c r="A120" s="51" t="s">
        <v>683</v>
      </c>
      <c r="B120" s="91" t="str">
        <f>IF(D112="ja", "Kapazitätsprobleme externer Dienstleister", "")</f>
        <v/>
      </c>
      <c r="C120" s="17"/>
      <c r="D120" s="38"/>
      <c r="E120" s="25"/>
      <c r="F120" s="89"/>
      <c r="G120" s="90"/>
      <c r="H120" s="74"/>
    </row>
    <row r="121" spans="1:8" ht="79.95" customHeight="1" x14ac:dyDescent="0.3">
      <c r="A121" s="51" t="s">
        <v>684</v>
      </c>
      <c r="B121" s="91" t="str">
        <f>IF(D112="ja", "Notwendigkeit von Aufnahmeprüfungen in physischer Präsenz oder mit physischen Objekten in bestimmten Studiengängen", "")</f>
        <v/>
      </c>
      <c r="C121" s="17"/>
      <c r="D121" s="38"/>
      <c r="E121" s="25"/>
      <c r="F121" s="89"/>
      <c r="G121" s="90"/>
      <c r="H121" s="74"/>
    </row>
    <row r="122" spans="1:8" ht="79.95" customHeight="1" x14ac:dyDescent="0.3">
      <c r="A122" s="51" t="s">
        <v>685</v>
      </c>
      <c r="B122" s="91" t="str">
        <f>IF(D112="ja", "noch keine Klärung für digitale Einwilligungen der gesetzlichen Vertreter*innen bei minderjährigen Studierenden", "")</f>
        <v/>
      </c>
      <c r="C122" s="17"/>
      <c r="D122" s="38"/>
      <c r="E122" s="25"/>
      <c r="F122" s="89"/>
      <c r="G122" s="90"/>
      <c r="H122" s="74"/>
    </row>
    <row r="123" spans="1:8" ht="79.95" customHeight="1" x14ac:dyDescent="0.3">
      <c r="A123" s="51" t="s">
        <v>686</v>
      </c>
      <c r="B123" s="91" t="str">
        <f>IF(D112="ja", "anderer Gründe (Nutzen Sie bitte das Freitextfeld.)", "")</f>
        <v/>
      </c>
      <c r="C123" s="17"/>
      <c r="D123" s="38"/>
      <c r="E123" s="25"/>
      <c r="F123" s="89"/>
      <c r="G123" s="90"/>
      <c r="H123" s="74"/>
    </row>
    <row r="124" spans="1:8" ht="79.95" customHeight="1" x14ac:dyDescent="0.3">
      <c r="A124" s="51"/>
      <c r="B124" s="88" t="s">
        <v>582</v>
      </c>
      <c r="C124" s="17"/>
      <c r="D124" s="32"/>
      <c r="E124" s="25"/>
      <c r="F124" s="89"/>
      <c r="G124" s="90"/>
      <c r="H124" s="74"/>
    </row>
    <row r="125" spans="1:8" ht="79.95" customHeight="1" x14ac:dyDescent="0.3">
      <c r="A125" s="51" t="s">
        <v>418</v>
      </c>
      <c r="B125" s="76" t="s">
        <v>838</v>
      </c>
      <c r="C125" s="17"/>
      <c r="D125" s="28"/>
      <c r="E125" s="25"/>
      <c r="F125" s="89"/>
      <c r="G125" s="90"/>
      <c r="H125" s="74"/>
    </row>
    <row r="126" spans="1:8" ht="79.95" customHeight="1" x14ac:dyDescent="0.3">
      <c r="A126" s="51" t="s">
        <v>419</v>
      </c>
      <c r="B126" s="76" t="s">
        <v>687</v>
      </c>
      <c r="C126" s="17"/>
      <c r="D126" s="33"/>
      <c r="E126" s="25"/>
      <c r="F126" s="89"/>
      <c r="G126" s="90"/>
      <c r="H126" s="74"/>
    </row>
    <row r="127" spans="1:8" ht="79.95" customHeight="1" x14ac:dyDescent="0.3">
      <c r="A127" s="51" t="s">
        <v>420</v>
      </c>
      <c r="B127" s="76" t="str">
        <f>IF(D126="nein", "Bitte geben Sie den voraussichtlichen Zeitverzug in Monaten (in ganzen Zahlen, kein Intervall) an.", "")</f>
        <v/>
      </c>
      <c r="C127" s="17"/>
      <c r="D127" s="34"/>
      <c r="E127" s="25" t="s">
        <v>822</v>
      </c>
      <c r="F127" s="89"/>
      <c r="G127" s="90"/>
      <c r="H127" s="74"/>
    </row>
    <row r="128" spans="1:8" ht="97.2" customHeight="1" x14ac:dyDescent="0.3">
      <c r="A128" s="51" t="s">
        <v>421</v>
      </c>
      <c r="B128" s="76" t="str">
        <f>IF(D126="nein", "Bitte geben Sie die Gründe für die Verzögerung bei der Realisierung der rechtlichen Voraussetzungen an. (Die Gründe für technische Verzögerungen sind Gegenstand der Fragen 4.2-4.5. )", "")</f>
        <v/>
      </c>
      <c r="C128" s="17"/>
      <c r="D128" s="64"/>
      <c r="E128" s="25" t="s">
        <v>823</v>
      </c>
      <c r="F128" s="89"/>
      <c r="G128" s="90"/>
      <c r="H128" s="74"/>
    </row>
    <row r="129" spans="1:8" ht="40.049999999999997" customHeight="1" x14ac:dyDescent="0.3">
      <c r="A129" s="51" t="s">
        <v>688</v>
      </c>
      <c r="B129" s="91" t="str">
        <f>IF(D126="nein", "rechtliche Rahmenabedingungen bzw. Vorgaben auf Landesebene unklar", "")</f>
        <v/>
      </c>
      <c r="C129" s="17"/>
      <c r="D129" s="41"/>
      <c r="E129" s="25"/>
      <c r="F129" s="89"/>
      <c r="G129" s="90"/>
      <c r="H129" s="74"/>
    </row>
    <row r="130" spans="1:8" ht="40.049999999999997" customHeight="1" x14ac:dyDescent="0.3">
      <c r="A130" s="51" t="s">
        <v>689</v>
      </c>
      <c r="B130" s="91" t="str">
        <f>IF(D126="nein", "Dauer der Abstimmungs- und Genehmigungsprozesse innerhalb der Hochschule", "")</f>
        <v/>
      </c>
      <c r="C130" s="17"/>
      <c r="D130" s="41"/>
      <c r="E130" s="25"/>
      <c r="F130" s="89"/>
      <c r="G130" s="90"/>
      <c r="H130" s="74"/>
    </row>
    <row r="131" spans="1:8" ht="40.049999999999997" customHeight="1" x14ac:dyDescent="0.3">
      <c r="A131" s="51" t="s">
        <v>690</v>
      </c>
      <c r="B131" s="91" t="str">
        <f>IF(D126="nein", "Personalausfall", "")</f>
        <v/>
      </c>
      <c r="C131" s="17"/>
      <c r="D131" s="41"/>
      <c r="E131" s="25"/>
      <c r="F131" s="89"/>
      <c r="G131" s="90"/>
      <c r="H131" s="74"/>
    </row>
    <row r="132" spans="1:8" ht="91.8" customHeight="1" x14ac:dyDescent="0.3">
      <c r="A132" s="51" t="s">
        <v>691</v>
      </c>
      <c r="B132" s="91" t="str">
        <f>IF(D126="nein", "andere Gründe (Bitte nutzen Sie das Freitextfeld.)", "")</f>
        <v/>
      </c>
      <c r="C132" s="17"/>
      <c r="D132" s="41"/>
      <c r="E132" s="25"/>
      <c r="F132" s="89"/>
      <c r="G132" s="90"/>
      <c r="H132" s="74"/>
    </row>
    <row r="133" spans="1:8" ht="92.4" customHeight="1" x14ac:dyDescent="0.3">
      <c r="A133" s="51" t="s">
        <v>422</v>
      </c>
      <c r="B133" s="76" t="s">
        <v>839</v>
      </c>
      <c r="C133" s="17"/>
      <c r="D133" s="34"/>
      <c r="E133" s="25"/>
      <c r="F133" s="89"/>
      <c r="G133" s="90"/>
      <c r="H133" s="74"/>
    </row>
    <row r="134" spans="1:8" ht="79.95" customHeight="1" x14ac:dyDescent="0.3">
      <c r="A134" s="51" t="s">
        <v>423</v>
      </c>
      <c r="B134" s="76" t="s">
        <v>693</v>
      </c>
      <c r="C134" s="17"/>
      <c r="D134" s="34"/>
      <c r="E134" s="25"/>
      <c r="F134" s="89"/>
      <c r="G134" s="90"/>
      <c r="H134" s="74"/>
    </row>
    <row r="135" spans="1:8" ht="79.95" customHeight="1" x14ac:dyDescent="0.3">
      <c r="A135" s="51" t="s">
        <v>424</v>
      </c>
      <c r="B135" s="76" t="str">
        <f>IF(D134="nein", "Bitte geben Sie den tatsächlichen oder voraussichtlichen Zeitverzug in Monaten (eine ganze Zahl, kein Intervall) an.", "")</f>
        <v/>
      </c>
      <c r="C135" s="17"/>
      <c r="D135" s="34"/>
      <c r="E135" s="25" t="s">
        <v>824</v>
      </c>
      <c r="F135" s="89"/>
      <c r="G135" s="90"/>
      <c r="H135" s="74"/>
    </row>
    <row r="136" spans="1:8" ht="79.95" customHeight="1" x14ac:dyDescent="0.3">
      <c r="A136" s="51" t="s">
        <v>425</v>
      </c>
      <c r="B136" s="76" t="str">
        <f>IF(D134="nein", "Bitte geben Sie die Gründe für die Verzögerung an.", "")</f>
        <v/>
      </c>
      <c r="C136" s="17"/>
      <c r="D136" s="40"/>
      <c r="E136" s="25" t="s">
        <v>825</v>
      </c>
      <c r="F136" s="89"/>
      <c r="G136" s="90"/>
      <c r="H136" s="74"/>
    </row>
    <row r="137" spans="1:8" ht="40.049999999999997" customHeight="1" x14ac:dyDescent="0.3">
      <c r="A137" s="51" t="s">
        <v>694</v>
      </c>
      <c r="B137" s="91" t="str">
        <f>IF(D134="nein", "Personalmangel", "")</f>
        <v/>
      </c>
      <c r="C137" s="17"/>
      <c r="D137" s="41"/>
      <c r="E137" s="25"/>
      <c r="F137" s="89"/>
      <c r="G137" s="90"/>
      <c r="H137" s="74"/>
    </row>
    <row r="138" spans="1:8" ht="40.049999999999997" customHeight="1" x14ac:dyDescent="0.3">
      <c r="A138" s="51" t="s">
        <v>695</v>
      </c>
      <c r="B138" s="91" t="str">
        <f>IF(D134="nein", "technische Spezifikationen unklar", "")</f>
        <v/>
      </c>
      <c r="C138" s="17"/>
      <c r="D138" s="41"/>
      <c r="E138" s="25"/>
      <c r="F138" s="89"/>
      <c r="G138" s="90"/>
      <c r="H138" s="74"/>
    </row>
    <row r="139" spans="1:8" ht="40.049999999999997" customHeight="1" x14ac:dyDescent="0.3">
      <c r="A139" s="51" t="s">
        <v>696</v>
      </c>
      <c r="B139" s="91" t="str">
        <f>IF(D134="nein", "Schaffen der technischen Voraussetzungen durch CaMS-Anbieter", "")</f>
        <v/>
      </c>
      <c r="C139" s="17"/>
      <c r="D139" s="41"/>
      <c r="E139" s="25"/>
      <c r="F139" s="89"/>
      <c r="G139" s="90"/>
      <c r="H139" s="74"/>
    </row>
    <row r="140" spans="1:8" ht="40.049999999999997" customHeight="1" x14ac:dyDescent="0.3">
      <c r="A140" s="51" t="s">
        <v>697</v>
      </c>
      <c r="B140" s="91" t="str">
        <f>IF(D134="nein", "Wechsel CaMS", "")</f>
        <v/>
      </c>
      <c r="C140" s="17"/>
      <c r="D140" s="41"/>
      <c r="E140" s="25"/>
      <c r="F140" s="89"/>
      <c r="G140" s="90"/>
      <c r="H140" s="74"/>
    </row>
    <row r="141" spans="1:8" ht="40.049999999999997" customHeight="1" x14ac:dyDescent="0.3">
      <c r="A141" s="51" t="s">
        <v>698</v>
      </c>
      <c r="B141" s="91" t="str">
        <f>IF(D134="nein", "Dauer der hochschulinternen Abstimmungsprozesse", "")</f>
        <v/>
      </c>
      <c r="C141" s="17"/>
      <c r="D141" s="41"/>
      <c r="E141" s="25"/>
      <c r="F141" s="89"/>
      <c r="G141" s="90"/>
      <c r="H141" s="74"/>
    </row>
    <row r="142" spans="1:8" ht="40.049999999999997" customHeight="1" x14ac:dyDescent="0.3">
      <c r="A142" s="51" t="s">
        <v>699</v>
      </c>
      <c r="B142" s="91" t="str">
        <f>IF(D134="nein", "andere Gründe (Bitte nutzen Sie das Freitextfeld.)", "")</f>
        <v/>
      </c>
      <c r="C142" s="17"/>
      <c r="D142" s="41"/>
      <c r="E142" s="25"/>
      <c r="F142" s="89"/>
      <c r="G142" s="90"/>
      <c r="H142" s="74"/>
    </row>
    <row r="143" spans="1:8" ht="79.95" customHeight="1" x14ac:dyDescent="0.3">
      <c r="A143" s="51" t="s">
        <v>426</v>
      </c>
      <c r="B143" s="76" t="s">
        <v>826</v>
      </c>
      <c r="C143" s="17"/>
      <c r="D143" s="28"/>
      <c r="E143" s="25" t="s">
        <v>828</v>
      </c>
      <c r="F143" s="89"/>
      <c r="G143" s="90"/>
      <c r="H143" s="74"/>
    </row>
    <row r="144" spans="1:8" ht="79.95" customHeight="1" x14ac:dyDescent="0.3">
      <c r="A144" s="51" t="s">
        <v>427</v>
      </c>
      <c r="B144" s="76" t="s">
        <v>827</v>
      </c>
      <c r="C144" s="17"/>
      <c r="D144" s="28"/>
      <c r="E144" s="25" t="s">
        <v>828</v>
      </c>
      <c r="F144" s="89"/>
      <c r="G144" s="90"/>
      <c r="H144" s="74"/>
    </row>
    <row r="145" spans="1:8" ht="79.95" customHeight="1" x14ac:dyDescent="0.3">
      <c r="A145" s="51" t="s">
        <v>428</v>
      </c>
      <c r="B145" s="76" t="str">
        <f>IF(D143="nein", "Bitte geben Sie an, mit welchem tatsächlichen oder voraussichtlichen  Zeitverzug die Schnittstelle verfügbar war oder verfügbar sein wird. ", "")</f>
        <v/>
      </c>
      <c r="C145" s="17"/>
      <c r="D145" s="29"/>
      <c r="E145" s="25" t="s">
        <v>829</v>
      </c>
      <c r="F145" s="89"/>
      <c r="G145" s="90"/>
      <c r="H145" s="74"/>
    </row>
    <row r="146" spans="1:8" ht="115.95" customHeight="1" x14ac:dyDescent="0.3">
      <c r="A146" s="51" t="s">
        <v>482</v>
      </c>
      <c r="B146" s="76" t="s">
        <v>700</v>
      </c>
      <c r="C146" s="17"/>
      <c r="D146" s="28"/>
      <c r="E146" s="25"/>
      <c r="F146" s="89"/>
      <c r="G146" s="90"/>
      <c r="H146" s="74"/>
    </row>
    <row r="147" spans="1:8" ht="115.95" customHeight="1" x14ac:dyDescent="0.3">
      <c r="A147" s="51" t="s">
        <v>483</v>
      </c>
      <c r="B147" s="76" t="str">
        <f>IF(D146="nein", "Wurde die Verknüpfung der Webseiten Ihrer Hochschule mit der Verwaltungssuchmaschine bis zum 31.12.2023 umgesetzt?", "")</f>
        <v/>
      </c>
      <c r="C147" s="17"/>
      <c r="D147" s="28"/>
      <c r="E147" s="25" t="s">
        <v>840</v>
      </c>
      <c r="F147" s="89"/>
      <c r="G147" s="90"/>
      <c r="H147" s="74"/>
    </row>
    <row r="148" spans="1:8" ht="70.8" customHeight="1" x14ac:dyDescent="0.3">
      <c r="A148" s="51" t="s">
        <v>484</v>
      </c>
      <c r="B148" s="76" t="str">
        <f>IF(D146="nein", "Bitte geben Sie den tatsächlichen oder voraussichtlichen Zeitverzug an, gerechnet vom 31.12.2022. (Angabe in Monaten, kein Intervall)", "")</f>
        <v/>
      </c>
      <c r="C148" s="17"/>
      <c r="D148" s="34"/>
      <c r="E148" s="25" t="s">
        <v>830</v>
      </c>
      <c r="F148" s="89"/>
      <c r="G148" s="90"/>
      <c r="H148" s="74"/>
    </row>
    <row r="149" spans="1:8" ht="120" customHeight="1" x14ac:dyDescent="0.3">
      <c r="A149" s="51"/>
      <c r="B149" s="76" t="s">
        <v>586</v>
      </c>
      <c r="C149" s="17"/>
      <c r="D149" s="40"/>
      <c r="E149" s="25"/>
      <c r="F149" s="89"/>
      <c r="G149" s="90"/>
      <c r="H149" s="74"/>
    </row>
    <row r="150" spans="1:8" ht="120" customHeight="1" x14ac:dyDescent="0.3">
      <c r="A150" s="51"/>
      <c r="B150" s="76" t="s">
        <v>701</v>
      </c>
      <c r="C150" s="17"/>
      <c r="D150" s="97">
        <f>D153+D156</f>
        <v>0</v>
      </c>
      <c r="E150" s="25" t="s">
        <v>706</v>
      </c>
      <c r="F150" s="89"/>
      <c r="G150" s="90"/>
      <c r="H150" s="74"/>
    </row>
    <row r="151" spans="1:8" ht="120" customHeight="1" x14ac:dyDescent="0.3">
      <c r="A151" s="51"/>
      <c r="B151" s="76" t="s">
        <v>702</v>
      </c>
      <c r="C151" s="17"/>
      <c r="D151" s="97">
        <f>D154+D157</f>
        <v>0</v>
      </c>
      <c r="E151" s="25" t="s">
        <v>707</v>
      </c>
      <c r="F151" s="89"/>
      <c r="G151" s="90"/>
      <c r="H151" s="74"/>
    </row>
    <row r="152" spans="1:8" ht="120" customHeight="1" x14ac:dyDescent="0.3">
      <c r="A152" s="51"/>
      <c r="B152" s="76" t="s">
        <v>703</v>
      </c>
      <c r="C152" s="17"/>
      <c r="D152" s="96" t="str">
        <f>IFERROR(D151/D150,"Wert wird automatisch berechnet.")</f>
        <v>Wert wird automatisch berechnet.</v>
      </c>
      <c r="E152" s="25" t="s">
        <v>831</v>
      </c>
      <c r="F152" s="89"/>
      <c r="G152" s="90"/>
      <c r="H152" s="74"/>
    </row>
    <row r="153" spans="1:8" ht="79.95" customHeight="1" x14ac:dyDescent="0.3">
      <c r="A153" s="51" t="s">
        <v>710</v>
      </c>
      <c r="B153" s="76" t="s">
        <v>709</v>
      </c>
      <c r="C153" s="17"/>
      <c r="D153" s="39"/>
      <c r="E153" s="25" t="s">
        <v>832</v>
      </c>
      <c r="F153" s="89"/>
      <c r="G153" s="90"/>
      <c r="H153" s="74"/>
    </row>
    <row r="154" spans="1:8" ht="79.95" customHeight="1" x14ac:dyDescent="0.3">
      <c r="A154" s="51" t="s">
        <v>711</v>
      </c>
      <c r="B154" s="76" t="s">
        <v>594</v>
      </c>
      <c r="C154" s="17"/>
      <c r="D154" s="39"/>
      <c r="E154" s="25" t="s">
        <v>832</v>
      </c>
      <c r="F154" s="89"/>
      <c r="G154" s="90"/>
      <c r="H154" s="74"/>
    </row>
    <row r="155" spans="1:8" ht="79.95" customHeight="1" x14ac:dyDescent="0.3">
      <c r="A155" s="51"/>
      <c r="B155" s="76" t="s">
        <v>501</v>
      </c>
      <c r="C155" s="17"/>
      <c r="D155" s="61" t="str">
        <f>IFERROR(D154/D153,"Wert wird automatisch berechnet.")</f>
        <v>Wert wird automatisch berechnet.</v>
      </c>
      <c r="E155" s="25" t="s">
        <v>833</v>
      </c>
      <c r="F155" s="89"/>
      <c r="G155" s="90"/>
      <c r="H155" s="74"/>
    </row>
    <row r="156" spans="1:8" ht="79.95" customHeight="1" x14ac:dyDescent="0.3">
      <c r="A156" s="51" t="s">
        <v>712</v>
      </c>
      <c r="B156" s="76" t="s">
        <v>704</v>
      </c>
      <c r="C156" s="17"/>
      <c r="D156" s="110"/>
      <c r="E156" s="25" t="s">
        <v>832</v>
      </c>
      <c r="F156" s="89"/>
      <c r="G156" s="90"/>
      <c r="H156" s="74"/>
    </row>
    <row r="157" spans="1:8" ht="79.95" customHeight="1" x14ac:dyDescent="0.3">
      <c r="A157" s="51" t="s">
        <v>713</v>
      </c>
      <c r="B157" s="76" t="s">
        <v>705</v>
      </c>
      <c r="C157" s="17"/>
      <c r="D157" s="110"/>
      <c r="E157" s="25" t="s">
        <v>832</v>
      </c>
      <c r="F157" s="89"/>
      <c r="G157" s="90"/>
      <c r="H157" s="74"/>
    </row>
    <row r="158" spans="1:8" ht="60" customHeight="1" x14ac:dyDescent="0.3">
      <c r="A158" s="51" t="s">
        <v>714</v>
      </c>
      <c r="B158" s="76" t="s">
        <v>708</v>
      </c>
      <c r="C158" s="17"/>
      <c r="D158" s="30"/>
      <c r="E158" s="25" t="s">
        <v>834</v>
      </c>
      <c r="F158" s="89"/>
      <c r="G158" s="90"/>
      <c r="H158" s="74"/>
    </row>
    <row r="159" spans="1:8" ht="60" customHeight="1" x14ac:dyDescent="0.3">
      <c r="A159" s="51" t="s">
        <v>715</v>
      </c>
      <c r="B159" s="91" t="s">
        <v>587</v>
      </c>
      <c r="C159" s="17"/>
      <c r="D159" s="28"/>
      <c r="E159" s="25"/>
      <c r="F159" s="89"/>
      <c r="G159" s="90"/>
      <c r="H159" s="74"/>
    </row>
    <row r="160" spans="1:8" ht="60" customHeight="1" x14ac:dyDescent="0.3">
      <c r="A160" s="51" t="s">
        <v>716</v>
      </c>
      <c r="B160" s="91" t="s">
        <v>588</v>
      </c>
      <c r="C160" s="17"/>
      <c r="D160" s="28"/>
      <c r="E160" s="25"/>
      <c r="F160" s="89"/>
      <c r="G160" s="90"/>
      <c r="H160" s="74"/>
    </row>
    <row r="161" spans="1:8" ht="60" customHeight="1" x14ac:dyDescent="0.3">
      <c r="A161" s="51" t="s">
        <v>717</v>
      </c>
      <c r="B161" s="91" t="s">
        <v>589</v>
      </c>
      <c r="C161" s="17"/>
      <c r="D161" s="28"/>
      <c r="E161" s="25"/>
      <c r="F161" s="89"/>
      <c r="G161" s="90"/>
      <c r="H161" s="74"/>
    </row>
    <row r="162" spans="1:8" ht="79.95" customHeight="1" x14ac:dyDescent="0.3">
      <c r="A162" s="51" t="s">
        <v>718</v>
      </c>
      <c r="B162" s="91" t="s">
        <v>590</v>
      </c>
      <c r="C162" s="17"/>
      <c r="D162" s="42"/>
      <c r="E162" s="25"/>
      <c r="F162" s="89"/>
      <c r="G162" s="90"/>
      <c r="H162" s="74"/>
    </row>
    <row r="163" spans="1:8" ht="79.95" customHeight="1" x14ac:dyDescent="0.3">
      <c r="A163" s="51" t="s">
        <v>719</v>
      </c>
      <c r="B163" s="76" t="str">
        <f>IF(D160="ja", "Welche Stellen wurde mit diesen Mitteln finanziert? Bitte geben Sie jeweils die Anzahl, den Stellenumfang und die Stellendauer an, z.B. 1 TV-L E13, Stufe 2, 50%, 12 Monate.", "")</f>
        <v/>
      </c>
      <c r="C163" s="17"/>
      <c r="D163" s="41"/>
      <c r="E163" s="25" t="s">
        <v>835</v>
      </c>
      <c r="F163" s="89"/>
      <c r="G163" s="90"/>
      <c r="H163" s="74"/>
    </row>
    <row r="164" spans="1:8" ht="120" customHeight="1" x14ac:dyDescent="0.3">
      <c r="A164" s="51" t="s">
        <v>720</v>
      </c>
      <c r="B164" s="76" t="s">
        <v>429</v>
      </c>
      <c r="C164" s="17"/>
      <c r="D164" s="42"/>
      <c r="E164" s="25" t="s">
        <v>186</v>
      </c>
      <c r="F164" s="89"/>
      <c r="G164" s="90"/>
      <c r="H164" s="74"/>
    </row>
    <row r="165" spans="1:8" x14ac:dyDescent="0.3">
      <c r="A165" s="51"/>
      <c r="B165" s="53"/>
      <c r="C165" s="21"/>
      <c r="E165" s="78"/>
      <c r="H165" s="74"/>
    </row>
    <row r="166" spans="1:8" ht="30" customHeight="1" x14ac:dyDescent="0.3">
      <c r="A166" s="51" t="s">
        <v>24</v>
      </c>
      <c r="B166" s="106" t="s">
        <v>44</v>
      </c>
      <c r="C166" s="82"/>
      <c r="D166" s="82"/>
      <c r="E166" s="83"/>
      <c r="F166" s="84"/>
      <c r="G166" s="82"/>
      <c r="H166" s="74"/>
    </row>
    <row r="167" spans="1:8" ht="79.95" customHeight="1" x14ac:dyDescent="0.3">
      <c r="A167" s="51" t="s">
        <v>25</v>
      </c>
      <c r="B167" s="53" t="s">
        <v>841</v>
      </c>
      <c r="C167" s="21"/>
      <c r="D167" s="4"/>
      <c r="E167" s="78" t="s">
        <v>197</v>
      </c>
      <c r="G167" s="77"/>
      <c r="H167" s="74"/>
    </row>
    <row r="168" spans="1:8" ht="91.8" customHeight="1" x14ac:dyDescent="0.3">
      <c r="A168" s="51" t="s">
        <v>26</v>
      </c>
      <c r="B168" s="53" t="str">
        <f>IF(D167="nein", "Warum konnte die Stelle der/des Netzwerkmitarbeitenden bislang an Ihrer Hochschule nicht besetzt werden? Bitte wählen Sie aus den folgenden Antwortoptionen (Mehrfachauswahl möglich) und/oder nutzen das Freitextfeld zur Angabe weiterer Gründe.", "")</f>
        <v/>
      </c>
      <c r="C168" s="21"/>
      <c r="D168" s="62"/>
      <c r="E168" s="25" t="s">
        <v>195</v>
      </c>
      <c r="F168" s="85"/>
      <c r="G168" s="77" t="s">
        <v>52</v>
      </c>
      <c r="H168" s="74"/>
    </row>
    <row r="169" spans="1:8" ht="79.95" customHeight="1" x14ac:dyDescent="0.3">
      <c r="A169" s="51" t="s">
        <v>555</v>
      </c>
      <c r="B169" s="54" t="str">
        <f>IF(D167="nein", "hochschulinterne Schwierigkeiten bei der Stellenausschreibung", "")</f>
        <v/>
      </c>
      <c r="C169" s="21"/>
      <c r="D169" s="37"/>
      <c r="E169" s="25"/>
      <c r="F169" s="85"/>
      <c r="G169" s="77"/>
      <c r="H169" s="74"/>
    </row>
    <row r="170" spans="1:8" ht="79.95" customHeight="1" x14ac:dyDescent="0.3">
      <c r="A170" s="51" t="s">
        <v>556</v>
      </c>
      <c r="B170" s="54" t="str">
        <f>IF(D167="nein", "Die Stellenbesetzung ist an unserer Hochschule nicht vorgesehen.", "")</f>
        <v/>
      </c>
      <c r="C170" s="21"/>
      <c r="D170" s="37"/>
      <c r="E170" s="25"/>
      <c r="F170" s="85"/>
      <c r="G170" s="77"/>
      <c r="H170" s="74"/>
    </row>
    <row r="171" spans="1:8" ht="79.95" customHeight="1" x14ac:dyDescent="0.3">
      <c r="A171" s="51" t="s">
        <v>557</v>
      </c>
      <c r="B171" s="54" t="str">
        <f>IF(D167="nein", "andere Gründe (Bitte geben Sie diese im Freitextfeld an.)", "")</f>
        <v/>
      </c>
      <c r="C171" s="21"/>
      <c r="D171" s="37"/>
      <c r="E171" s="25"/>
      <c r="F171" s="85"/>
      <c r="G171" s="77"/>
      <c r="H171" s="74"/>
    </row>
    <row r="172" spans="1:8" ht="60" customHeight="1" x14ac:dyDescent="0.3">
      <c r="A172" s="51" t="s">
        <v>27</v>
      </c>
      <c r="B172" s="53" t="str">
        <f>IF(D167="ja", "Wann wurde die Stelle an Ihrer Hochschule das erste Mal besetzt? (Es ist nach dem Datum des ersten Stellenantritts gefragt.)", "")</f>
        <v/>
      </c>
      <c r="C172" s="21"/>
      <c r="D172" s="35"/>
      <c r="E172" s="25" t="s">
        <v>205</v>
      </c>
      <c r="F172" s="85"/>
      <c r="G172" s="77" t="s">
        <v>122</v>
      </c>
      <c r="H172" s="74"/>
    </row>
    <row r="173" spans="1:8" ht="60" customHeight="1" x14ac:dyDescent="0.3">
      <c r="A173" s="51" t="s">
        <v>28</v>
      </c>
      <c r="B173" s="53" t="str">
        <f>IF(D167="ja", "Gab es bis zum Stichtag 31.12.2023 Wechsel in der Besetzung der Stelle?", "")</f>
        <v/>
      </c>
      <c r="C173" s="21"/>
      <c r="D173" s="4"/>
      <c r="E173" s="25" t="s">
        <v>196</v>
      </c>
      <c r="F173" s="85"/>
      <c r="G173" s="75" t="s">
        <v>181</v>
      </c>
      <c r="H173" s="74"/>
    </row>
    <row r="174" spans="1:8" ht="60" customHeight="1" x14ac:dyDescent="0.3">
      <c r="A174" s="51" t="s">
        <v>46</v>
      </c>
      <c r="B174" s="53" t="str">
        <f>IF(D173="ja", "Wie viele Personen hatten bisher die Stelle an Ihrer Hochschule inne? Bitte geben Sie den Wert als Zahl ein.", "")</f>
        <v/>
      </c>
      <c r="C174" s="21"/>
      <c r="D174" s="19"/>
      <c r="E174" s="25" t="s">
        <v>198</v>
      </c>
      <c r="F174" s="85"/>
      <c r="G174" s="77" t="s">
        <v>123</v>
      </c>
      <c r="H174" s="74"/>
    </row>
    <row r="175" spans="1:8" ht="60" customHeight="1" x14ac:dyDescent="0.3">
      <c r="A175" s="51" t="s">
        <v>148</v>
      </c>
      <c r="B175" s="53" t="str">
        <f>IF(D173="ja", "Gab es Unterbrechungen in der Stellenbesetzung, also Phasen, in denen die Stelle seit der erstmaligen Besetzung nicht besetzt war?", "")</f>
        <v/>
      </c>
      <c r="C175" s="21"/>
      <c r="D175" s="18"/>
      <c r="E175" s="25" t="s">
        <v>199</v>
      </c>
      <c r="F175" s="85"/>
      <c r="H175" s="74"/>
    </row>
    <row r="176" spans="1:8" ht="60" customHeight="1" x14ac:dyDescent="0.3">
      <c r="A176" s="51" t="s">
        <v>149</v>
      </c>
      <c r="B176" s="53" t="str">
        <f>IF(D167="ja", "Gab es Verzögerungen bei der ersten Stellenbesetzung?", "")</f>
        <v/>
      </c>
      <c r="C176" s="21"/>
      <c r="D176" s="18"/>
      <c r="E176" s="25" t="s">
        <v>196</v>
      </c>
      <c r="F176" s="85"/>
      <c r="H176" s="74"/>
    </row>
    <row r="177" spans="1:8" ht="66" customHeight="1" x14ac:dyDescent="0.3">
      <c r="A177" s="51" t="s">
        <v>150</v>
      </c>
      <c r="B177" s="53" t="str">
        <f>IF(D176="ja", "Warum gab es Verzögerungen bei der (ersten) Stellenbesetzung?", "")</f>
        <v/>
      </c>
      <c r="C177" s="21"/>
      <c r="D177" s="21"/>
      <c r="E177" s="25" t="s">
        <v>349</v>
      </c>
      <c r="F177" s="85"/>
      <c r="G177" s="77" t="s">
        <v>52</v>
      </c>
      <c r="H177" s="74"/>
    </row>
    <row r="178" spans="1:8" ht="40.200000000000003" customHeight="1" x14ac:dyDescent="0.3">
      <c r="A178" s="51" t="s">
        <v>350</v>
      </c>
      <c r="B178" s="54" t="str">
        <f>IF(D176="ja", "Dauer der hochschulinternen Abstimmungen", "")</f>
        <v/>
      </c>
      <c r="C178" s="21"/>
      <c r="D178" s="18"/>
      <c r="E178" s="25"/>
      <c r="F178" s="85"/>
      <c r="G178" s="77"/>
      <c r="H178" s="74"/>
    </row>
    <row r="179" spans="1:8" ht="40.200000000000003" customHeight="1" x14ac:dyDescent="0.3">
      <c r="A179" s="51" t="s">
        <v>351</v>
      </c>
      <c r="B179" s="54" t="str">
        <f>IF(D176="ja", "Dauer des Besetzungs- und Ausschreibungsverfahrens", "")</f>
        <v/>
      </c>
      <c r="C179" s="21"/>
      <c r="D179" s="18"/>
      <c r="E179" s="25"/>
      <c r="F179" s="85"/>
      <c r="G179" s="77"/>
      <c r="H179" s="74"/>
    </row>
    <row r="180" spans="1:8" ht="40.200000000000003" customHeight="1" x14ac:dyDescent="0.3">
      <c r="A180" s="51" t="s">
        <v>352</v>
      </c>
      <c r="B180" s="54" t="str">
        <f>IF(D176="ja", "Bewerber*innenlage", "")</f>
        <v/>
      </c>
      <c r="C180" s="21"/>
      <c r="D180" s="18"/>
      <c r="E180" s="25"/>
      <c r="F180" s="85"/>
      <c r="G180" s="77"/>
      <c r="H180" s="74"/>
    </row>
    <row r="181" spans="1:8" ht="40.200000000000003" customHeight="1" x14ac:dyDescent="0.3">
      <c r="A181" s="51" t="s">
        <v>353</v>
      </c>
      <c r="B181" s="54" t="str">
        <f>IF(D176="ja", "Verzögerungen bei der Unterzeichnung der VzD und der Mittelbereitstellung", "")</f>
        <v/>
      </c>
      <c r="C181" s="21"/>
      <c r="D181" s="18"/>
      <c r="E181" s="25"/>
      <c r="F181" s="85"/>
      <c r="G181" s="77"/>
      <c r="H181" s="74"/>
    </row>
    <row r="182" spans="1:8" ht="40.200000000000003" customHeight="1" x14ac:dyDescent="0.3">
      <c r="A182" s="51" t="s">
        <v>354</v>
      </c>
      <c r="B182" s="54" t="str">
        <f>IF(D176="ja", "kurzfristige Absage der/des ausgewählten Bewerberin bzw. Bewerbers", "")</f>
        <v/>
      </c>
      <c r="C182" s="21"/>
      <c r="D182" s="18"/>
      <c r="E182" s="25"/>
      <c r="F182" s="85"/>
      <c r="G182" s="77"/>
      <c r="H182" s="74"/>
    </row>
    <row r="183" spans="1:8" ht="40.200000000000003" customHeight="1" x14ac:dyDescent="0.3">
      <c r="A183" s="51" t="s">
        <v>355</v>
      </c>
      <c r="B183" s="54" t="str">
        <f>IF(D176="ja", "Verzögerungen bei Stellenantritt des/der ausgewählten Bewerber*in", "")</f>
        <v/>
      </c>
      <c r="C183" s="21"/>
      <c r="D183" s="18"/>
      <c r="E183" s="25"/>
      <c r="F183" s="85"/>
      <c r="G183" s="77"/>
      <c r="H183" s="74"/>
    </row>
    <row r="184" spans="1:8" ht="40.200000000000003" customHeight="1" x14ac:dyDescent="0.3">
      <c r="A184" s="51" t="s">
        <v>558</v>
      </c>
      <c r="B184" s="54" t="str">
        <f>IF(D176="ja", "späterer Start des Landesportals", "")</f>
        <v/>
      </c>
      <c r="C184" s="21"/>
      <c r="D184" s="18"/>
      <c r="E184" s="25"/>
      <c r="F184" s="85"/>
      <c r="G184" s="77"/>
      <c r="H184" s="74"/>
    </row>
    <row r="185" spans="1:8" ht="73.8" customHeight="1" x14ac:dyDescent="0.3">
      <c r="A185" s="51" t="s">
        <v>559</v>
      </c>
      <c r="B185" s="54" t="str">
        <f>IF(D176="ja", "andere Gründe (Bitte Freitextfeld nutzen)", "")</f>
        <v/>
      </c>
      <c r="C185" s="21"/>
      <c r="D185" s="18"/>
      <c r="E185" s="25"/>
      <c r="F185" s="85"/>
      <c r="G185" s="77"/>
      <c r="H185" s="74"/>
    </row>
    <row r="186" spans="1:8" ht="60" customHeight="1" x14ac:dyDescent="0.3">
      <c r="A186" s="51" t="s">
        <v>151</v>
      </c>
      <c r="B186" s="53" t="str">
        <f>IF(D167="ja","In welcher Organisationseinheit Ihrer Hochschule ist die Stelle angesiedelt?","")</f>
        <v/>
      </c>
      <c r="C186" s="21"/>
      <c r="D186" s="18"/>
      <c r="E186" s="25" t="s">
        <v>196</v>
      </c>
      <c r="F186" s="85"/>
      <c r="G186" s="77"/>
      <c r="H186" s="74"/>
    </row>
    <row r="187" spans="1:8" ht="60" customHeight="1" x14ac:dyDescent="0.3">
      <c r="A187" s="51" t="s">
        <v>152</v>
      </c>
      <c r="B187" s="53" t="s">
        <v>356</v>
      </c>
      <c r="C187" s="21"/>
      <c r="D187" s="4"/>
      <c r="E187" s="78"/>
      <c r="G187" s="77"/>
      <c r="H187" s="74"/>
    </row>
    <row r="188" spans="1:8" ht="60" customHeight="1" x14ac:dyDescent="0.3">
      <c r="A188" s="51" t="s">
        <v>153</v>
      </c>
      <c r="B188" s="53" t="str">
        <f>IF(D187="ja", "Bitte geben Sie die Kontaktdaten der Person an, die aktuell an Ihrer Hochschule die Aufgaben der Netzwerkstelle übernimmt.", "")</f>
        <v/>
      </c>
      <c r="C188" s="21"/>
      <c r="D188" s="21"/>
      <c r="E188" s="25" t="s">
        <v>836</v>
      </c>
      <c r="F188" s="85"/>
      <c r="G188" s="93"/>
      <c r="H188" s="74"/>
    </row>
    <row r="189" spans="1:8" ht="40.200000000000003" customHeight="1" x14ac:dyDescent="0.3">
      <c r="A189" s="51" t="s">
        <v>357</v>
      </c>
      <c r="B189" s="54" t="str">
        <f>IF(D187="ja", "Nachname", "")</f>
        <v/>
      </c>
      <c r="C189" s="21"/>
      <c r="D189" s="37"/>
      <c r="E189" s="25" t="s">
        <v>200</v>
      </c>
      <c r="F189" s="85"/>
      <c r="G189" s="93"/>
      <c r="H189" s="74"/>
    </row>
    <row r="190" spans="1:8" ht="40.200000000000003" customHeight="1" x14ac:dyDescent="0.3">
      <c r="A190" s="51" t="s">
        <v>358</v>
      </c>
      <c r="B190" s="54" t="str">
        <f>IF(D187="ja", "Vorname", "")</f>
        <v/>
      </c>
      <c r="C190" s="21"/>
      <c r="D190" s="37"/>
      <c r="E190" s="25" t="s">
        <v>200</v>
      </c>
      <c r="F190" s="85"/>
      <c r="G190" s="93"/>
      <c r="H190" s="74"/>
    </row>
    <row r="191" spans="1:8" ht="40.200000000000003" customHeight="1" x14ac:dyDescent="0.3">
      <c r="A191" s="51" t="s">
        <v>359</v>
      </c>
      <c r="B191" s="54" t="str">
        <f>IF(D187="ja", "ggf. Titel", "")</f>
        <v/>
      </c>
      <c r="C191" s="21"/>
      <c r="D191" s="37"/>
      <c r="E191" s="25" t="s">
        <v>200</v>
      </c>
      <c r="F191" s="85"/>
      <c r="G191" s="93"/>
      <c r="H191" s="74"/>
    </row>
    <row r="192" spans="1:8" ht="40.200000000000003" customHeight="1" x14ac:dyDescent="0.3">
      <c r="A192" s="51" t="s">
        <v>360</v>
      </c>
      <c r="B192" s="54" t="str">
        <f>IF(D187="ja", "E-Mail", "")</f>
        <v/>
      </c>
      <c r="C192" s="21"/>
      <c r="D192" s="37"/>
      <c r="E192" s="25" t="s">
        <v>200</v>
      </c>
      <c r="F192" s="85"/>
      <c r="G192" s="93"/>
      <c r="H192" s="74"/>
    </row>
    <row r="193" spans="1:8" ht="60" customHeight="1" x14ac:dyDescent="0.3">
      <c r="A193" s="51" t="s">
        <v>560</v>
      </c>
      <c r="B193" s="54" t="str">
        <f>IF(D187="ja", "Darf der/die an Ihrer Hochschule angesiedelte Mitarbeiter*in des Netzwerks im Rahmen der Online-Auftritte der DH.NRW namentlich genannt werden?", "")</f>
        <v/>
      </c>
      <c r="C193" s="21"/>
      <c r="D193" s="4"/>
      <c r="E193" s="25" t="s">
        <v>200</v>
      </c>
      <c r="F193" s="85"/>
      <c r="G193" s="93"/>
      <c r="H193" s="74"/>
    </row>
    <row r="194" spans="1:8" ht="60" customHeight="1" x14ac:dyDescent="0.3">
      <c r="A194" s="51" t="s">
        <v>154</v>
      </c>
      <c r="B194" s="53" t="str">
        <f>IF(D187="ja", "Ist die Stelle zeitgleich noch von einer weiteren Person besetzt.", "")</f>
        <v/>
      </c>
      <c r="C194" s="21"/>
      <c r="D194" s="4"/>
      <c r="E194" s="25" t="s">
        <v>591</v>
      </c>
      <c r="F194" s="85"/>
      <c r="G194" s="93"/>
      <c r="H194" s="74"/>
    </row>
    <row r="195" spans="1:8" ht="60" customHeight="1" x14ac:dyDescent="0.3">
      <c r="A195" s="51" t="s">
        <v>561</v>
      </c>
      <c r="B195" s="54" t="str">
        <f>IF(D194="ja", "Nachname der zweiten Person auf der Stelle", "")</f>
        <v/>
      </c>
      <c r="C195" s="21"/>
      <c r="D195" s="43"/>
      <c r="E195" s="25" t="s">
        <v>566</v>
      </c>
      <c r="F195" s="85"/>
      <c r="G195" s="93"/>
      <c r="H195" s="74"/>
    </row>
    <row r="196" spans="1:8" ht="60" customHeight="1" x14ac:dyDescent="0.3">
      <c r="A196" s="51" t="s">
        <v>562</v>
      </c>
      <c r="B196" s="54" t="str">
        <f>IF(D194="ja", "Vorname der zweiten Person auf der Stelle", "")</f>
        <v/>
      </c>
      <c r="C196" s="21"/>
      <c r="D196" s="4"/>
      <c r="E196" s="25" t="s">
        <v>566</v>
      </c>
      <c r="F196" s="85"/>
      <c r="G196" s="93"/>
      <c r="H196" s="74"/>
    </row>
    <row r="197" spans="1:8" ht="60" customHeight="1" x14ac:dyDescent="0.3">
      <c r="A197" s="51" t="s">
        <v>563</v>
      </c>
      <c r="B197" s="54" t="str">
        <f>IF(D194="ja", "ggf. Titel Vorname der zweiten Person auf der Stelle", "")</f>
        <v/>
      </c>
      <c r="C197" s="21"/>
      <c r="D197" s="4"/>
      <c r="E197" s="25" t="s">
        <v>566</v>
      </c>
      <c r="F197" s="85"/>
      <c r="G197" s="93"/>
      <c r="H197" s="74"/>
    </row>
    <row r="198" spans="1:8" ht="60" customHeight="1" x14ac:dyDescent="0.3">
      <c r="A198" s="51" t="s">
        <v>564</v>
      </c>
      <c r="B198" s="54" t="str">
        <f>IF(D194="ja", "E-Mail Vorname der zweiten Person auf der Stelle", "")</f>
        <v/>
      </c>
      <c r="C198" s="21"/>
      <c r="D198" s="4"/>
      <c r="E198" s="25" t="s">
        <v>566</v>
      </c>
      <c r="F198" s="85"/>
      <c r="G198" s="93"/>
      <c r="H198" s="74"/>
    </row>
    <row r="199" spans="1:8" ht="60" customHeight="1" x14ac:dyDescent="0.3">
      <c r="A199" s="51" t="s">
        <v>565</v>
      </c>
      <c r="B199" s="54" t="str">
        <f>IF(D194="ja", "Darf der/die an Ihrer Hochschule angesiedelte Mitarbeiter*in des Netzwerks im Rahmen der Online-Auftritte der DH.NRW namentlich genannt werden?", "")</f>
        <v/>
      </c>
      <c r="C199" s="21"/>
      <c r="D199" s="4"/>
      <c r="E199" s="25" t="s">
        <v>566</v>
      </c>
      <c r="F199" s="85"/>
      <c r="G199" s="93"/>
      <c r="H199" s="74"/>
    </row>
    <row r="200" spans="1:8" ht="79.95" customHeight="1" x14ac:dyDescent="0.3">
      <c r="A200" s="51" t="s">
        <v>155</v>
      </c>
      <c r="B200" s="76" t="s">
        <v>361</v>
      </c>
      <c r="C200" s="17"/>
      <c r="D200" s="17"/>
      <c r="E200" s="25" t="s">
        <v>201</v>
      </c>
      <c r="F200" s="81"/>
      <c r="H200" s="74"/>
    </row>
    <row r="201" spans="1:8" ht="30" customHeight="1" x14ac:dyDescent="0.3">
      <c r="A201" s="51" t="s">
        <v>362</v>
      </c>
      <c r="B201" s="91" t="s">
        <v>229</v>
      </c>
      <c r="C201" s="17"/>
      <c r="D201" s="43"/>
      <c r="E201" s="25"/>
      <c r="F201" s="81"/>
      <c r="H201" s="74"/>
    </row>
    <row r="202" spans="1:8" ht="30" customHeight="1" x14ac:dyDescent="0.3">
      <c r="A202" s="51" t="s">
        <v>363</v>
      </c>
      <c r="B202" s="91" t="s">
        <v>230</v>
      </c>
      <c r="C202" s="17"/>
      <c r="D202" s="43"/>
      <c r="E202" s="25"/>
      <c r="F202" s="81"/>
      <c r="H202" s="74"/>
    </row>
    <row r="203" spans="1:8" ht="30" customHeight="1" x14ac:dyDescent="0.3">
      <c r="A203" s="51" t="s">
        <v>364</v>
      </c>
      <c r="B203" s="91" t="s">
        <v>231</v>
      </c>
      <c r="C203" s="17"/>
      <c r="D203" s="43"/>
      <c r="E203" s="25"/>
      <c r="F203" s="81"/>
      <c r="H203" s="74"/>
    </row>
    <row r="204" spans="1:8" ht="30" customHeight="1" x14ac:dyDescent="0.3">
      <c r="A204" s="51" t="s">
        <v>365</v>
      </c>
      <c r="B204" s="91" t="s">
        <v>49</v>
      </c>
      <c r="C204" s="17"/>
      <c r="D204" s="44"/>
      <c r="E204" s="25"/>
      <c r="F204" s="81"/>
      <c r="H204" s="74"/>
    </row>
    <row r="205" spans="1:8" ht="60" customHeight="1" x14ac:dyDescent="0.3">
      <c r="A205" s="51"/>
      <c r="B205" s="76" t="s">
        <v>703</v>
      </c>
      <c r="C205" s="17"/>
      <c r="D205" s="16" t="str">
        <f>IFERROR(D207/D206,"Wert wird automatisch berechnet.")</f>
        <v>Wert wird automatisch berechnet.</v>
      </c>
      <c r="E205" s="25" t="s">
        <v>387</v>
      </c>
      <c r="F205" s="81"/>
      <c r="H205" s="74"/>
    </row>
    <row r="206" spans="1:8" ht="60" customHeight="1" x14ac:dyDescent="0.3">
      <c r="A206" s="51"/>
      <c r="B206" s="76" t="s">
        <v>721</v>
      </c>
      <c r="C206" s="17"/>
      <c r="D206" s="60">
        <f>D209+D224</f>
        <v>0</v>
      </c>
      <c r="E206" s="25" t="s">
        <v>385</v>
      </c>
      <c r="F206" s="81"/>
      <c r="H206" s="74"/>
    </row>
    <row r="207" spans="1:8" ht="60" customHeight="1" x14ac:dyDescent="0.3">
      <c r="A207" s="51"/>
      <c r="B207" s="76" t="s">
        <v>722</v>
      </c>
      <c r="C207" s="17"/>
      <c r="D207" s="60">
        <f>D210+D225</f>
        <v>0</v>
      </c>
      <c r="E207" s="25" t="s">
        <v>386</v>
      </c>
      <c r="F207" s="81"/>
      <c r="H207" s="74"/>
    </row>
    <row r="208" spans="1:8" ht="60" customHeight="1" x14ac:dyDescent="0.3">
      <c r="A208" s="51"/>
      <c r="B208" s="76" t="s">
        <v>723</v>
      </c>
      <c r="C208" s="17"/>
      <c r="D208" s="16" t="str">
        <f>IFERROR(1-(D210/D209),"Wert wird automatisch berechnet.")</f>
        <v>Wert wird automatisch berechnet.</v>
      </c>
      <c r="E208" s="25" t="s">
        <v>481</v>
      </c>
      <c r="F208" s="81"/>
      <c r="H208" s="74"/>
    </row>
    <row r="209" spans="1:8" ht="60" customHeight="1" x14ac:dyDescent="0.3">
      <c r="A209" s="51" t="s">
        <v>156</v>
      </c>
      <c r="B209" s="76" t="s">
        <v>724</v>
      </c>
      <c r="C209" s="17"/>
      <c r="D209" s="24"/>
      <c r="E209" s="25" t="s">
        <v>202</v>
      </c>
      <c r="F209" s="81"/>
      <c r="H209" s="74"/>
    </row>
    <row r="210" spans="1:8" ht="60" customHeight="1" x14ac:dyDescent="0.3">
      <c r="A210" s="51" t="s">
        <v>157</v>
      </c>
      <c r="B210" s="76" t="s">
        <v>725</v>
      </c>
      <c r="C210" s="17"/>
      <c r="D210" s="24"/>
      <c r="E210" s="25" t="s">
        <v>727</v>
      </c>
      <c r="F210" s="81"/>
      <c r="H210" s="74"/>
    </row>
    <row r="211" spans="1:8" ht="73.8" customHeight="1" x14ac:dyDescent="0.3">
      <c r="A211" s="51" t="s">
        <v>158</v>
      </c>
      <c r="B211" s="76" t="s">
        <v>726</v>
      </c>
      <c r="C211" s="17"/>
      <c r="D211" s="17"/>
      <c r="E211" s="25" t="s">
        <v>728</v>
      </c>
      <c r="F211" s="81"/>
      <c r="H211" s="74"/>
    </row>
    <row r="212" spans="1:8" ht="40.200000000000003" customHeight="1" x14ac:dyDescent="0.3">
      <c r="A212" s="51" t="s">
        <v>377</v>
      </c>
      <c r="B212" s="91" t="s">
        <v>366</v>
      </c>
      <c r="C212" s="17"/>
      <c r="D212" s="5"/>
      <c r="E212" s="25"/>
      <c r="F212" s="81"/>
      <c r="H212" s="74"/>
    </row>
    <row r="213" spans="1:8" ht="40.200000000000003" customHeight="1" x14ac:dyDescent="0.3">
      <c r="A213" s="51" t="s">
        <v>378</v>
      </c>
      <c r="B213" s="91" t="s">
        <v>367</v>
      </c>
      <c r="C213" s="17"/>
      <c r="D213" s="5"/>
      <c r="E213" s="25"/>
      <c r="F213" s="81"/>
      <c r="H213" s="74"/>
    </row>
    <row r="214" spans="1:8" ht="40.200000000000003" customHeight="1" x14ac:dyDescent="0.3">
      <c r="A214" s="51" t="s">
        <v>379</v>
      </c>
      <c r="B214" s="91" t="s">
        <v>368</v>
      </c>
      <c r="C214" s="17"/>
      <c r="D214" s="5"/>
      <c r="E214" s="25"/>
      <c r="F214" s="81"/>
      <c r="H214" s="74"/>
    </row>
    <row r="215" spans="1:8" ht="40.200000000000003" customHeight="1" x14ac:dyDescent="0.3">
      <c r="A215" s="51" t="s">
        <v>380</v>
      </c>
      <c r="B215" s="91" t="s">
        <v>369</v>
      </c>
      <c r="C215" s="17"/>
      <c r="D215" s="5"/>
      <c r="E215" s="25"/>
      <c r="F215" s="81"/>
      <c r="H215" s="74"/>
    </row>
    <row r="216" spans="1:8" ht="40.200000000000003" customHeight="1" x14ac:dyDescent="0.3">
      <c r="A216" s="51" t="s">
        <v>381</v>
      </c>
      <c r="B216" s="91" t="s">
        <v>370</v>
      </c>
      <c r="C216" s="17"/>
      <c r="D216" s="5"/>
      <c r="E216" s="25"/>
      <c r="F216" s="81"/>
      <c r="H216" s="74"/>
    </row>
    <row r="217" spans="1:8" ht="40.200000000000003" customHeight="1" x14ac:dyDescent="0.3">
      <c r="A217" s="51" t="s">
        <v>382</v>
      </c>
      <c r="B217" s="91" t="s">
        <v>567</v>
      </c>
      <c r="C217" s="17"/>
      <c r="D217" s="5"/>
      <c r="E217" s="25"/>
      <c r="F217" s="81"/>
      <c r="H217" s="74"/>
    </row>
    <row r="218" spans="1:8" ht="40.200000000000003" customHeight="1" x14ac:dyDescent="0.3">
      <c r="A218" s="51" t="s">
        <v>568</v>
      </c>
      <c r="B218" s="91" t="s">
        <v>569</v>
      </c>
      <c r="C218" s="17"/>
      <c r="D218" s="5"/>
      <c r="E218" s="25"/>
      <c r="F218" s="81"/>
      <c r="H218" s="74"/>
    </row>
    <row r="219" spans="1:8" ht="40.200000000000003" customHeight="1" x14ac:dyDescent="0.3">
      <c r="A219" s="51" t="s">
        <v>570</v>
      </c>
      <c r="B219" s="91" t="s">
        <v>571</v>
      </c>
      <c r="C219" s="17"/>
      <c r="D219" s="5"/>
      <c r="E219" s="25"/>
      <c r="F219" s="81"/>
      <c r="H219" s="74"/>
    </row>
    <row r="220" spans="1:8" ht="40.200000000000003" customHeight="1" x14ac:dyDescent="0.3">
      <c r="A220" s="51" t="s">
        <v>572</v>
      </c>
      <c r="B220" s="91" t="s">
        <v>573</v>
      </c>
      <c r="C220" s="17"/>
      <c r="D220" s="5"/>
      <c r="E220" s="25"/>
      <c r="F220" s="81"/>
      <c r="H220" s="74"/>
    </row>
    <row r="221" spans="1:8" ht="40.200000000000003" customHeight="1" x14ac:dyDescent="0.3">
      <c r="A221" s="51" t="s">
        <v>574</v>
      </c>
      <c r="B221" s="91" t="s">
        <v>730</v>
      </c>
      <c r="C221" s="17"/>
      <c r="D221" s="5"/>
      <c r="E221" s="25"/>
      <c r="F221" s="81"/>
      <c r="H221" s="74"/>
    </row>
    <row r="222" spans="1:8" ht="79.95" customHeight="1" x14ac:dyDescent="0.3">
      <c r="A222" s="51" t="s">
        <v>729</v>
      </c>
      <c r="B222" s="91" t="s">
        <v>371</v>
      </c>
      <c r="C222" s="17"/>
      <c r="D222" s="5"/>
      <c r="E222" s="25"/>
      <c r="F222" s="81"/>
      <c r="H222" s="74"/>
    </row>
    <row r="223" spans="1:8" ht="60" customHeight="1" x14ac:dyDescent="0.3">
      <c r="A223" s="51"/>
      <c r="B223" s="76" t="s">
        <v>731</v>
      </c>
      <c r="C223" s="17"/>
      <c r="D223" s="16" t="str">
        <f>IFERROR(1-D225/D224,"Wert wird automatisch berechnet.")</f>
        <v>Wert wird automatisch berechnet.</v>
      </c>
      <c r="E223" s="25" t="s">
        <v>384</v>
      </c>
      <c r="F223" s="81"/>
      <c r="H223" s="74"/>
    </row>
    <row r="224" spans="1:8" ht="60" customHeight="1" x14ac:dyDescent="0.3">
      <c r="A224" s="51" t="s">
        <v>159</v>
      </c>
      <c r="B224" s="76" t="s">
        <v>732</v>
      </c>
      <c r="C224" s="17"/>
      <c r="D224" s="24"/>
      <c r="E224" s="25" t="s">
        <v>202</v>
      </c>
      <c r="F224" s="81"/>
      <c r="H224" s="74"/>
    </row>
    <row r="225" spans="1:8" ht="60" customHeight="1" x14ac:dyDescent="0.3">
      <c r="A225" s="51" t="s">
        <v>160</v>
      </c>
      <c r="B225" s="76" t="s">
        <v>733</v>
      </c>
      <c r="C225" s="17"/>
      <c r="D225" s="24"/>
      <c r="E225" s="25" t="s">
        <v>202</v>
      </c>
      <c r="F225" s="81"/>
      <c r="H225" s="74"/>
    </row>
    <row r="226" spans="1:8" ht="60" customHeight="1" x14ac:dyDescent="0.3">
      <c r="A226" s="51" t="s">
        <v>161</v>
      </c>
      <c r="B226" s="76" t="s">
        <v>837</v>
      </c>
      <c r="C226" s="17"/>
      <c r="D226" s="98"/>
      <c r="E226" s="25" t="s">
        <v>372</v>
      </c>
      <c r="F226" s="81"/>
      <c r="H226" s="74"/>
    </row>
    <row r="227" spans="1:8" ht="60" customHeight="1" x14ac:dyDescent="0.3">
      <c r="A227" s="51" t="s">
        <v>734</v>
      </c>
      <c r="B227" s="76" t="s">
        <v>367</v>
      </c>
      <c r="C227" s="17"/>
      <c r="D227" s="24"/>
      <c r="E227" s="25"/>
      <c r="F227" s="81"/>
      <c r="H227" s="74"/>
    </row>
    <row r="228" spans="1:8" ht="60" customHeight="1" x14ac:dyDescent="0.3">
      <c r="A228" s="51" t="s">
        <v>735</v>
      </c>
      <c r="B228" s="76" t="s">
        <v>368</v>
      </c>
      <c r="C228" s="17"/>
      <c r="D228" s="24"/>
      <c r="E228" s="25"/>
      <c r="F228" s="81"/>
      <c r="H228" s="74"/>
    </row>
    <row r="229" spans="1:8" ht="60" customHeight="1" x14ac:dyDescent="0.3">
      <c r="A229" s="51" t="s">
        <v>736</v>
      </c>
      <c r="B229" s="76" t="s">
        <v>369</v>
      </c>
      <c r="C229" s="17"/>
      <c r="D229" s="24"/>
      <c r="E229" s="25"/>
      <c r="F229" s="81"/>
      <c r="H229" s="74"/>
    </row>
    <row r="230" spans="1:8" ht="60" customHeight="1" x14ac:dyDescent="0.3">
      <c r="A230" s="51" t="s">
        <v>737</v>
      </c>
      <c r="B230" s="76" t="s">
        <v>370</v>
      </c>
      <c r="C230" s="17"/>
      <c r="D230" s="24"/>
      <c r="E230" s="25"/>
      <c r="F230" s="81"/>
      <c r="H230" s="74"/>
    </row>
    <row r="231" spans="1:8" ht="60" customHeight="1" x14ac:dyDescent="0.3">
      <c r="A231" s="51" t="s">
        <v>738</v>
      </c>
      <c r="B231" s="76" t="s">
        <v>742</v>
      </c>
      <c r="C231" s="17"/>
      <c r="D231" s="24"/>
      <c r="E231" s="25"/>
      <c r="F231" s="81"/>
      <c r="H231" s="74"/>
    </row>
    <row r="232" spans="1:8" ht="60" customHeight="1" x14ac:dyDescent="0.3">
      <c r="A232" s="51" t="s">
        <v>739</v>
      </c>
      <c r="B232" s="76" t="s">
        <v>569</v>
      </c>
      <c r="C232" s="17"/>
      <c r="D232" s="24"/>
      <c r="E232" s="25"/>
      <c r="F232" s="81"/>
      <c r="H232" s="74"/>
    </row>
    <row r="233" spans="1:8" ht="60" customHeight="1" x14ac:dyDescent="0.3">
      <c r="A233" s="51" t="s">
        <v>740</v>
      </c>
      <c r="B233" s="76" t="s">
        <v>743</v>
      </c>
      <c r="C233" s="17"/>
      <c r="D233" s="24"/>
      <c r="E233" s="25"/>
      <c r="F233" s="81"/>
      <c r="H233" s="74"/>
    </row>
    <row r="234" spans="1:8" ht="60" customHeight="1" x14ac:dyDescent="0.3">
      <c r="A234" s="51" t="s">
        <v>741</v>
      </c>
      <c r="B234" s="76" t="s">
        <v>371</v>
      </c>
      <c r="C234" s="17"/>
      <c r="D234" s="43"/>
      <c r="E234" s="25"/>
      <c r="F234" s="81"/>
      <c r="H234" s="74"/>
    </row>
    <row r="235" spans="1:8" ht="60" customHeight="1" x14ac:dyDescent="0.3">
      <c r="A235" s="51" t="s">
        <v>162</v>
      </c>
      <c r="B235" s="53" t="s">
        <v>373</v>
      </c>
      <c r="C235" s="17"/>
      <c r="D235" s="24"/>
      <c r="E235" s="25"/>
      <c r="F235" s="81"/>
      <c r="H235" s="74"/>
    </row>
    <row r="236" spans="1:8" ht="60" customHeight="1" x14ac:dyDescent="0.3">
      <c r="A236" s="51" t="s">
        <v>162</v>
      </c>
      <c r="B236" s="53" t="s">
        <v>374</v>
      </c>
      <c r="C236" s="17"/>
      <c r="D236" s="24"/>
      <c r="E236" s="25"/>
      <c r="F236" s="81"/>
      <c r="H236" s="74"/>
    </row>
    <row r="237" spans="1:8" ht="60" customHeight="1" x14ac:dyDescent="0.3">
      <c r="A237" s="51" t="s">
        <v>163</v>
      </c>
      <c r="B237" s="53" t="s">
        <v>38</v>
      </c>
      <c r="C237" s="21"/>
      <c r="D237" s="18"/>
      <c r="E237" s="78" t="s">
        <v>226</v>
      </c>
      <c r="H237" s="74"/>
    </row>
    <row r="238" spans="1:8" ht="80.400000000000006" customHeight="1" x14ac:dyDescent="0.3">
      <c r="A238" s="51" t="s">
        <v>164</v>
      </c>
      <c r="B238" s="53" t="s">
        <v>39</v>
      </c>
      <c r="C238" s="21"/>
      <c r="D238" s="18"/>
      <c r="E238" s="78"/>
      <c r="H238" s="74"/>
    </row>
    <row r="239" spans="1:8" ht="106.95" customHeight="1" x14ac:dyDescent="0.3">
      <c r="A239" s="51" t="s">
        <v>165</v>
      </c>
      <c r="B239" s="53" t="str">
        <f>IF(D238="ja", "Wie werden diese Wünsche und Verbesserungsvorschläge erfasst (z.B. proaktiv durch einen festen Prozess oder rein situativ oder auch rein passiv)? Wie werden diese aufgearbeitet und an das Landesportal kommuniziert?", "")</f>
        <v/>
      </c>
      <c r="C239" s="21"/>
      <c r="D239" s="37"/>
      <c r="E239" s="25" t="s">
        <v>383</v>
      </c>
      <c r="F239" s="81"/>
      <c r="G239" s="80"/>
      <c r="H239" s="74"/>
    </row>
    <row r="240" spans="1:8" ht="79.95" customHeight="1" x14ac:dyDescent="0.3">
      <c r="A240" s="51" t="s">
        <v>166</v>
      </c>
      <c r="B240" s="53" t="s">
        <v>375</v>
      </c>
      <c r="C240" s="21"/>
      <c r="D240" s="18"/>
      <c r="E240" s="25"/>
      <c r="F240" s="81"/>
      <c r="G240" s="80"/>
      <c r="H240" s="74"/>
    </row>
    <row r="241" spans="1:8" ht="79.95" customHeight="1" x14ac:dyDescent="0.3">
      <c r="A241" s="51" t="s">
        <v>167</v>
      </c>
      <c r="B241" s="53" t="s">
        <v>376</v>
      </c>
      <c r="C241" s="21"/>
      <c r="D241" s="18"/>
      <c r="E241" s="25"/>
      <c r="F241" s="81"/>
      <c r="G241" s="80"/>
      <c r="H241" s="74"/>
    </row>
    <row r="242" spans="1:8" ht="139.94999999999999" customHeight="1" x14ac:dyDescent="0.3">
      <c r="A242" s="51" t="s">
        <v>168</v>
      </c>
      <c r="B242" s="53" t="s">
        <v>176</v>
      </c>
      <c r="C242" s="21"/>
      <c r="D242" s="18"/>
      <c r="E242" s="25" t="s">
        <v>186</v>
      </c>
      <c r="F242" s="81"/>
      <c r="G242" s="80"/>
      <c r="H242" s="74"/>
    </row>
    <row r="243" spans="1:8" x14ac:dyDescent="0.3">
      <c r="A243" s="51"/>
      <c r="B243" s="53"/>
      <c r="C243" s="21"/>
      <c r="E243" s="78"/>
      <c r="H243" s="74"/>
    </row>
    <row r="244" spans="1:8" ht="30" customHeight="1" x14ac:dyDescent="0.3">
      <c r="A244" s="51" t="s">
        <v>29</v>
      </c>
      <c r="B244" s="112" t="s">
        <v>40</v>
      </c>
      <c r="C244" s="112"/>
      <c r="D244" s="112"/>
      <c r="E244" s="112"/>
      <c r="F244" s="84"/>
      <c r="G244" s="82"/>
      <c r="H244" s="74"/>
    </row>
    <row r="245" spans="1:8" ht="97.95" customHeight="1" x14ac:dyDescent="0.3">
      <c r="A245" s="51" t="s">
        <v>30</v>
      </c>
      <c r="B245" s="53" t="s">
        <v>388</v>
      </c>
      <c r="C245" s="21"/>
      <c r="D245" s="21"/>
      <c r="E245" s="25"/>
      <c r="F245" s="81"/>
      <c r="H245" s="74"/>
    </row>
    <row r="246" spans="1:8" ht="19.95" customHeight="1" x14ac:dyDescent="0.3">
      <c r="A246" s="51"/>
      <c r="B246" s="54" t="s">
        <v>126</v>
      </c>
      <c r="C246" s="21"/>
      <c r="D246" s="18"/>
      <c r="E246" s="78"/>
      <c r="H246" s="74"/>
    </row>
    <row r="247" spans="1:8" ht="19.95" customHeight="1" x14ac:dyDescent="0.3">
      <c r="A247" s="51"/>
      <c r="B247" s="54" t="s">
        <v>127</v>
      </c>
      <c r="C247" s="21"/>
      <c r="D247" s="18"/>
      <c r="E247" s="78"/>
      <c r="H247" s="74"/>
    </row>
    <row r="248" spans="1:8" ht="19.95" customHeight="1" x14ac:dyDescent="0.3">
      <c r="A248" s="51"/>
      <c r="B248" s="54" t="s">
        <v>485</v>
      </c>
      <c r="C248" s="21"/>
      <c r="D248" s="18"/>
      <c r="E248" s="78"/>
      <c r="H248" s="74"/>
    </row>
    <row r="249" spans="1:8" ht="19.95" customHeight="1" x14ac:dyDescent="0.3">
      <c r="A249" s="51"/>
      <c r="B249" s="54" t="s">
        <v>395</v>
      </c>
      <c r="C249" s="21"/>
      <c r="D249" s="18"/>
      <c r="E249" s="78"/>
      <c r="H249" s="74"/>
    </row>
    <row r="250" spans="1:8" ht="60" customHeight="1" x14ac:dyDescent="0.3">
      <c r="A250" s="51"/>
      <c r="B250" s="54" t="s">
        <v>498</v>
      </c>
      <c r="C250" s="21"/>
      <c r="D250" s="6"/>
      <c r="E250" s="25"/>
      <c r="F250" s="81"/>
      <c r="H250" s="74"/>
    </row>
    <row r="251" spans="1:8" ht="100.2" customHeight="1" x14ac:dyDescent="0.3">
      <c r="A251" s="51" t="s">
        <v>31</v>
      </c>
      <c r="B251" s="53" t="s">
        <v>396</v>
      </c>
      <c r="C251" s="21"/>
      <c r="D251" s="6"/>
      <c r="E251" s="25"/>
      <c r="F251" s="81"/>
      <c r="H251" s="74"/>
    </row>
    <row r="252" spans="1:8" ht="100.2" customHeight="1" x14ac:dyDescent="0.3">
      <c r="A252" s="51" t="s">
        <v>32</v>
      </c>
      <c r="B252" s="53" t="s">
        <v>397</v>
      </c>
      <c r="C252" s="21"/>
      <c r="D252" s="6"/>
      <c r="E252" s="25"/>
      <c r="F252" s="81"/>
      <c r="H252" s="74"/>
    </row>
    <row r="253" spans="1:8" ht="100.2" customHeight="1" x14ac:dyDescent="0.3">
      <c r="A253" s="51" t="s">
        <v>33</v>
      </c>
      <c r="B253" s="53" t="s">
        <v>398</v>
      </c>
      <c r="C253" s="21"/>
      <c r="D253" s="6"/>
      <c r="E253" s="25"/>
      <c r="F253" s="81"/>
      <c r="H253" s="74"/>
    </row>
    <row r="254" spans="1:8" ht="100.2" customHeight="1" x14ac:dyDescent="0.3">
      <c r="A254" s="51" t="s">
        <v>400</v>
      </c>
      <c r="B254" s="53" t="s">
        <v>399</v>
      </c>
      <c r="C254" s="21"/>
      <c r="D254" s="6"/>
      <c r="E254" s="25"/>
      <c r="F254" s="81"/>
      <c r="H254" s="74"/>
    </row>
    <row r="255" spans="1:8" ht="90.6" customHeight="1" x14ac:dyDescent="0.3">
      <c r="A255" s="51" t="s">
        <v>401</v>
      </c>
      <c r="B255" s="53" t="s">
        <v>41</v>
      </c>
      <c r="C255" s="21"/>
      <c r="D255" s="6"/>
      <c r="E255" s="78" t="s">
        <v>203</v>
      </c>
      <c r="G255" s="75" t="s">
        <v>53</v>
      </c>
      <c r="H255" s="74"/>
    </row>
    <row r="256" spans="1:8" ht="74.400000000000006" customHeight="1" x14ac:dyDescent="0.3">
      <c r="A256" s="51" t="s">
        <v>402</v>
      </c>
      <c r="B256" s="53" t="s">
        <v>593</v>
      </c>
      <c r="C256" s="21"/>
      <c r="D256" s="18"/>
      <c r="E256" s="78" t="s">
        <v>592</v>
      </c>
      <c r="H256" s="74"/>
    </row>
    <row r="257" spans="1:8" ht="60" customHeight="1" x14ac:dyDescent="0.3">
      <c r="A257" s="51" t="s">
        <v>404</v>
      </c>
      <c r="B257" s="53" t="str">
        <f>IF(D256="ja", "Bitte geben Sie den Namen und die E-Mail-Adresse des/der Multiplikator*in an.", "")</f>
        <v/>
      </c>
      <c r="C257" s="21"/>
      <c r="D257" s="21"/>
      <c r="E257" s="25" t="s">
        <v>206</v>
      </c>
      <c r="F257" s="81"/>
      <c r="H257" s="74"/>
    </row>
    <row r="258" spans="1:8" ht="30" customHeight="1" x14ac:dyDescent="0.3">
      <c r="A258" s="51" t="s">
        <v>405</v>
      </c>
      <c r="B258" s="54" t="str">
        <f>IF(D256="ja", "Nachname des/der Multiplikator*in", "")</f>
        <v/>
      </c>
      <c r="C258" s="21"/>
      <c r="D258" s="37"/>
      <c r="E258" s="25" t="s">
        <v>403</v>
      </c>
      <c r="F258" s="81"/>
      <c r="H258" s="82"/>
    </row>
    <row r="259" spans="1:8" ht="30" customHeight="1" x14ac:dyDescent="0.3">
      <c r="A259" s="51" t="s">
        <v>406</v>
      </c>
      <c r="B259" s="54" t="str">
        <f>IF(D256="ja", "Vorname des/der Multiplikator*in", "")</f>
        <v/>
      </c>
      <c r="C259" s="21"/>
      <c r="D259" s="37"/>
      <c r="E259" s="25" t="s">
        <v>403</v>
      </c>
      <c r="F259" s="81"/>
      <c r="H259" s="82"/>
    </row>
    <row r="260" spans="1:8" ht="30" customHeight="1" x14ac:dyDescent="0.3">
      <c r="A260" s="51" t="s">
        <v>407</v>
      </c>
      <c r="B260" s="54" t="str">
        <f>IF(D256="ja", "ggf. Titel des/der Multiplikator*in", "")</f>
        <v/>
      </c>
      <c r="C260" s="21"/>
      <c r="D260" s="37"/>
      <c r="E260" s="25" t="s">
        <v>403</v>
      </c>
      <c r="F260" s="81"/>
      <c r="H260" s="82"/>
    </row>
    <row r="261" spans="1:8" ht="30" customHeight="1" x14ac:dyDescent="0.3">
      <c r="A261" s="51" t="s">
        <v>408</v>
      </c>
      <c r="B261" s="54" t="str">
        <f>IF(D256="ja", "E-Mail-Adresse des/der Multiplikator*in", "")</f>
        <v/>
      </c>
      <c r="C261" s="21"/>
      <c r="D261" s="37"/>
      <c r="E261" s="25" t="s">
        <v>403</v>
      </c>
      <c r="F261" s="81"/>
      <c r="H261" s="82"/>
    </row>
    <row r="262" spans="1:8" x14ac:dyDescent="0.3">
      <c r="A262" s="51"/>
      <c r="B262" s="53"/>
      <c r="C262" s="21"/>
      <c r="D262" s="80"/>
      <c r="E262" s="25"/>
      <c r="F262" s="81"/>
      <c r="H262" s="82"/>
    </row>
    <row r="263" spans="1:8" ht="12" customHeight="1" x14ac:dyDescent="0.3">
      <c r="A263" s="51"/>
      <c r="B263" s="82"/>
      <c r="C263" s="82"/>
      <c r="D263" s="82"/>
      <c r="E263" s="94"/>
      <c r="F263" s="84"/>
      <c r="G263" s="82"/>
      <c r="H263" s="82"/>
    </row>
  </sheetData>
  <sheetProtection algorithmName="SHA-512" hashValue="SZGCYBttVrjNcudX9Apyz7SVlDTTEXbW0Gsaxsxrvc4AVOkVPStmg7pfwHb4U5rNN4SuvRvOCRJKhho+3/cH0Q==" saltValue="JaQahymUCPk/5/Lr7TceRA==" spinCount="100000" sheet="1" objects="1" scenarios="1"/>
  <mergeCells count="4">
    <mergeCell ref="B3:E3"/>
    <mergeCell ref="B244:E244"/>
    <mergeCell ref="G31:G32"/>
    <mergeCell ref="B2:E2"/>
  </mergeCells>
  <dataValidations count="5">
    <dataValidation type="list" allowBlank="1" showInputMessage="1" showErrorMessage="1" sqref="E250:F254 D24 D49 D235:D238 D167 D10 D240:D241 D187 D256 D212:D221 D159:D161 D126 D112 D17 D143 D96:D98 D146 D227:D233" xr:uid="{FC8C75F5-7437-4303-8111-1D2A66ECCDA7}">
      <formula1>"ja,nein"</formula1>
    </dataValidation>
    <dataValidation type="list" allowBlank="1" showInputMessage="1" showErrorMessage="1" sqref="D69" xr:uid="{CD08E853-FF2C-4F91-B481-AB51EA926560}">
      <formula1>"0,1,2,3,4,5,6,7,8"</formula1>
    </dataValidation>
    <dataValidation type="list" allowBlank="1" showInputMessage="1" showErrorMessage="1" sqref="D81" xr:uid="{439165F5-C24A-4942-9781-87CF33C418CA}">
      <formula1>"vollständig abgeschlossen, Umsetzung begonnen, Umsetzung in Planung"</formula1>
    </dataValidation>
    <dataValidation type="list" allowBlank="1" showInputMessage="1" showErrorMessage="1" sqref="D125 D133" xr:uid="{F9747A61-BDEB-44EA-8156-1B0FF6504C6C}">
      <formula1>"abgeschlossen,Umsetzung begonnen, Umsetzung in Planung"</formula1>
    </dataValidation>
    <dataValidation type="list" allowBlank="1" showInputMessage="1" showErrorMessage="1" sqref="D43" xr:uid="{70EE2AE2-2F86-406D-9099-07A37F5EE788}">
      <formula1>"0,1,2,3,4,5,6,7,8,9,10,11,12"</formula1>
    </dataValidation>
  </dataValidations>
  <hyperlinks>
    <hyperlink ref="D46" r:id="rId1" xr:uid="{BFED57F4-1B69-4FA7-90D9-6A4E58B9C74F}"/>
    <hyperlink ref="D72" r:id="rId2" xr:uid="{D34501CE-F30C-4EE3-BE2F-D40D1B10CE3F}"/>
  </hyperlinks>
  <pageMargins left="0.7" right="0.7" top="0.78740157499999996" bottom="0.78740157499999996" header="0.3" footer="0.3"/>
  <pageSetup paperSize="9" orientation="portrait" r:id="rId3"/>
  <ignoredErrors>
    <ignoredError sqref="G224:XFD224 A6:A9" twoDigitTextYear="1"/>
  </ignoredErrors>
  <extLst>
    <ext xmlns:x14="http://schemas.microsoft.com/office/spreadsheetml/2009/9/main" uri="{CCE6A557-97BC-4b89-ADB6-D9C93CAAB3DF}">
      <x14:dataValidations xmlns:xm="http://schemas.microsoft.com/office/excel/2006/main" count="41">
        <x14:dataValidation type="list" allowBlank="1" showInputMessage="1" showErrorMessage="1" xr:uid="{34EF555D-5F7F-41B4-880B-B746644A023A}">
          <x14:formula1>
            <xm:f>IF(D49="ja",Listen!$I$2:$I$5)</xm:f>
          </x14:formula1>
          <xm:sqref>D57</xm:sqref>
        </x14:dataValidation>
        <x14:dataValidation type="list" allowBlank="1" showInputMessage="1" showErrorMessage="1" xr:uid="{FFF93230-D00B-48E4-8CB9-2715E332ACC3}">
          <x14:formula1>
            <xm:f>Listen!$C$2:$C$38</xm:f>
          </x14:formula1>
          <xm:sqref>D4</xm:sqref>
        </x14:dataValidation>
        <x14:dataValidation type="list" allowBlank="1" showInputMessage="1" showErrorMessage="1" xr:uid="{65F33583-4C20-4FE7-9354-06401F14C4ED}">
          <x14:formula1>
            <xm:f>IF(D10="ja",Listen!$E$2:$E$3)</xm:f>
          </x14:formula1>
          <xm:sqref>D11</xm:sqref>
        </x14:dataValidation>
        <x14:dataValidation type="list" allowBlank="1" showInputMessage="1" showErrorMessage="1" xr:uid="{CF7E9E11-F70A-4D5D-BF3F-AFEE48FEFD45}">
          <x14:formula1>
            <xm:f>IF(D24="nein",Listen!$E$2:$E$3)</xm:f>
          </x14:formula1>
          <xm:sqref>D25 D50 D144 D147</xm:sqref>
        </x14:dataValidation>
        <x14:dataValidation type="list" allowBlank="1" showInputMessage="1" showErrorMessage="1" xr:uid="{0C6F554D-9DFE-41C1-900A-774EC1388436}">
          <x14:formula1>
            <xm:f>IF(D98="ja",Listen!$E$2:$E$3)</xm:f>
          </x14:formula1>
          <xm:sqref>D179 D101 D115</xm:sqref>
        </x14:dataValidation>
        <x14:dataValidation type="list" allowBlank="1" showInputMessage="1" showErrorMessage="1" xr:uid="{D10E36F5-601C-4BD9-877E-7E20B4CFF0A6}">
          <x14:formula1>
            <xm:f>IF(D98="ja",Listen!$E$2:$E$3)</xm:f>
          </x14:formula1>
          <xm:sqref>D175 D178 D100 D114</xm:sqref>
        </x14:dataValidation>
        <x14:dataValidation type="list" allowBlank="1" showInputMessage="1" showErrorMessage="1" xr:uid="{3ED017B2-E715-4882-8523-E147ABA48A0F}">
          <x14:formula1>
            <xm:f>IF(D98="ja",Listen!$E$2:$E$3)</xm:f>
          </x14:formula1>
          <xm:sqref>D173 D182 D104 D118</xm:sqref>
        </x14:dataValidation>
        <x14:dataValidation type="list" allowBlank="1" showInputMessage="1" showErrorMessage="1" xr:uid="{6496DBDF-546E-4CA9-829F-CD40D69731A3}">
          <x14:formula1>
            <xm:f>IF(D98="ja",Listen!$E$2:$E$3)</xm:f>
          </x14:formula1>
          <xm:sqref>D180 D102 D116</xm:sqref>
        </x14:dataValidation>
        <x14:dataValidation type="list" allowBlank="1" showInputMessage="1" showErrorMessage="1" xr:uid="{5307054E-9A73-449D-AE94-27425C84C364}">
          <x14:formula1>
            <xm:f>IF(D98="ja",Listen!$E$2:$E$3)</xm:f>
          </x14:formula1>
          <xm:sqref>D181 D103 D117</xm:sqref>
        </x14:dataValidation>
        <x14:dataValidation type="list" allowBlank="1" showInputMessage="1" showErrorMessage="1" xr:uid="{C246BA5F-D2D7-49F3-8DEA-4C7C277DD0D5}">
          <x14:formula1>
            <xm:f>IF(OR(D133="Umsetzung begonnen",D133="Umsetzung in Planung"),Listen!$E$2:$E$3, "")</xm:f>
          </x14:formula1>
          <xm:sqref>D134</xm:sqref>
        </x14:dataValidation>
        <x14:dataValidation type="list" allowBlank="1" showInputMessage="1" showErrorMessage="1" xr:uid="{CE8C8AB4-92E4-4528-9D45-3D5A743691E4}">
          <x14:formula1>
            <xm:f>Listen!$O$2:$O$7</xm:f>
          </x14:formula1>
          <xm:sqref>D246:D249</xm:sqref>
        </x14:dataValidation>
        <x14:dataValidation type="list" allowBlank="1" showInputMessage="1" showErrorMessage="1" xr:uid="{BC68BCFC-71E8-4FCE-B2F3-1AACAED74D13}">
          <x14:formula1>
            <xm:f>IF(D24="ja",Listen!$I$2:$I$6)</xm:f>
          </x14:formula1>
          <xm:sqref>D30</xm:sqref>
        </x14:dataValidation>
        <x14:dataValidation type="list" allowBlank="1" showInputMessage="1" showErrorMessage="1" xr:uid="{3F079501-0F5A-4DA7-ADF6-FEE7505810BA}">
          <x14:formula1>
            <xm:f>IF(D25="nein",Listen!$E$2:$E$3)</xm:f>
          </x14:formula1>
          <xm:sqref>D27 D169</xm:sqref>
        </x14:dataValidation>
        <x14:dataValidation type="list" allowBlank="1" showInputMessage="1" showErrorMessage="1" xr:uid="{3B01F786-D4D2-4319-8EF7-A54D0014B8EF}">
          <x14:formula1>
            <xm:f>IF(D25="nein",Listen!$E$2:$E$3)</xm:f>
          </x14:formula1>
          <xm:sqref>D28 D170 D129 D137</xm:sqref>
        </x14:dataValidation>
        <x14:dataValidation type="list" allowBlank="1" showInputMessage="1" showErrorMessage="1" xr:uid="{62BD4547-053F-4B39-AFAE-EEE97A38DA7D}">
          <x14:formula1>
            <xm:f>IF(AND(D49="nein", D50="nein"),Listen!$E$2:$E$3)</xm:f>
          </x14:formula1>
          <xm:sqref>D55</xm:sqref>
        </x14:dataValidation>
        <x14:dataValidation type="list" allowBlank="1" showInputMessage="1" showErrorMessage="1" xr:uid="{DBB8C9F0-D009-4888-A86E-0D127E58FDAC}">
          <x14:formula1>
            <xm:f>IF(AND(D49="nein", D50="nein"),Listen!$E$2:$E$3)</xm:f>
          </x14:formula1>
          <xm:sqref>D52</xm:sqref>
        </x14:dataValidation>
        <x14:dataValidation type="list" allowBlank="1" showInputMessage="1" showErrorMessage="1" xr:uid="{70D8722A-0008-468E-8094-752C916F66DF}">
          <x14:formula1>
            <xm:f>IF(AND(D49="nein", D50="nein"),Listen!$E$2:$E$3)</xm:f>
          </x14:formula1>
          <xm:sqref>D53</xm:sqref>
        </x14:dataValidation>
        <x14:dataValidation type="list" allowBlank="1" showInputMessage="1" showErrorMessage="1" xr:uid="{106F1EB4-F789-4DF2-A55A-D9AEBCF6A575}">
          <x14:formula1>
            <xm:f>IF(D98="ja",Listen!$E$2:$E$3)</xm:f>
          </x14:formula1>
          <xm:sqref>D176 D121 D107</xm:sqref>
        </x14:dataValidation>
        <x14:dataValidation type="list" allowBlank="1" showInputMessage="1" showErrorMessage="1" xr:uid="{424D822D-2528-47E7-B57F-4C95E155BC49}">
          <x14:formula1>
            <xm:f>IF(D98="ja",Listen!$E$2:$E$3)</xm:f>
          </x14:formula1>
          <xm:sqref>D184 D120 D106</xm:sqref>
        </x14:dataValidation>
        <x14:dataValidation type="list" allowBlank="1" showInputMessage="1" showErrorMessage="1" xr:uid="{2FC94683-DB59-421B-8EAB-91E8C59EE2A1}">
          <x14:formula1>
            <xm:f>IF(D98="ja",Listen!$E$2:$E$3)</xm:f>
          </x14:formula1>
          <xm:sqref>D183 D194 D119 D105</xm:sqref>
        </x14:dataValidation>
        <x14:dataValidation type="list" allowBlank="1" showInputMessage="1" showErrorMessage="1" xr:uid="{17A29F8B-CA47-4CBB-928E-046087380418}">
          <x14:formula1>
            <xm:f>IF(D194="ja",Listen!$K$2:$K$4)</xm:f>
          </x14:formula1>
          <xm:sqref>D199</xm:sqref>
        </x14:dataValidation>
        <x14:dataValidation type="list" allowBlank="1" showInputMessage="1" showErrorMessage="1" xr:uid="{8DA13010-D2B1-4275-B5F9-0C038717CA7B}">
          <x14:formula1>
            <xm:f>IF(D187="ja",Listen!$K$2:$K$4)</xm:f>
          </x14:formula1>
          <xm:sqref>D193</xm:sqref>
        </x14:dataValidation>
        <x14:dataValidation type="list" allowBlank="1" showInputMessage="1" showErrorMessage="1" xr:uid="{B1DD0082-1DA4-4E24-9FD1-B267EA8BD193}">
          <x14:formula1>
            <xm:f>IF(OR(D81="Umsetzung begonnen",D81="Umsetzung in Planung"),Listen!$E$2:$E$3)</xm:f>
          </x14:formula1>
          <xm:sqref>D85</xm:sqref>
        </x14:dataValidation>
        <x14:dataValidation type="list" allowBlank="1" showInputMessage="1" showErrorMessage="1" xr:uid="{017947BC-3364-4C92-9121-4CF5C26253F9}">
          <x14:formula1>
            <xm:f>IF(OR(D81="Umsetzung begonnen",D81="Umsetzung in Planung"),Listen!$E$2:$E$3)</xm:f>
          </x14:formula1>
          <xm:sqref>D86</xm:sqref>
        </x14:dataValidation>
        <x14:dataValidation type="list" allowBlank="1" showInputMessage="1" showErrorMessage="1" xr:uid="{17678728-7A1A-4758-8E7F-D63E675A80AD}">
          <x14:formula1>
            <xm:f>IF(OR(D81="Umsetzung begonnen",D81="Umsetzung in Planung"),Listen!$E$2:$E$3)</xm:f>
          </x14:formula1>
          <xm:sqref>D87</xm:sqref>
        </x14:dataValidation>
        <x14:dataValidation type="list" allowBlank="1" showInputMessage="1" showErrorMessage="1" xr:uid="{02BAD2F9-15C5-4FD4-97DF-D3537BB226F7}">
          <x14:formula1>
            <xm:f>IF(OR(D81="Umsetzung begonnen",D81="Umsetzung in Planung"),Listen!$E$2:$E$3)</xm:f>
          </x14:formula1>
          <xm:sqref>D88</xm:sqref>
        </x14:dataValidation>
        <x14:dataValidation type="list" allowBlank="1" showInputMessage="1" showErrorMessage="1" xr:uid="{29817657-C194-4019-AEAB-7513C2EFD93F}">
          <x14:formula1>
            <xm:f>IF(OR(D81="Umsetzung begonnen",D81="Umsetzung in Planung"),Listen!$E$2:$E$3)</xm:f>
          </x14:formula1>
          <xm:sqref>D89</xm:sqref>
        </x14:dataValidation>
        <x14:dataValidation type="list" allowBlank="1" showInputMessage="1" showErrorMessage="1" xr:uid="{DF28A649-3214-45BF-8D9C-50A15CBA1BCA}">
          <x14:formula1>
            <xm:f>IF(D126="nein",Listen!$E$2:$E$3)</xm:f>
          </x14:formula1>
          <xm:sqref>D130 D138</xm:sqref>
        </x14:dataValidation>
        <x14:dataValidation type="list" allowBlank="1" showInputMessage="1" showErrorMessage="1" xr:uid="{7D0AB26A-8F8B-4EF5-A221-F0C3424873C7}">
          <x14:formula1>
            <xm:f>IF(D126="nein",Listen!$E$2:$E$3)</xm:f>
          </x14:formula1>
          <xm:sqref>D131 D139</xm:sqref>
        </x14:dataValidation>
        <x14:dataValidation type="list" allowBlank="1" showInputMessage="1" showErrorMessage="1" xr:uid="{EAAE5197-5D01-497C-B271-517590B00FB9}">
          <x14:formula1>
            <xm:f>IF(D134="nein",Listen!$E$2:$E$3)</xm:f>
          </x14:formula1>
          <xm:sqref>D140</xm:sqref>
        </x14:dataValidation>
        <x14:dataValidation type="list" allowBlank="1" showInputMessage="1" showErrorMessage="1" xr:uid="{8D650DEC-4523-40A6-A567-7C54D5FFB0B8}">
          <x14:formula1>
            <xm:f>IF(D134="nein",Listen!$E$2:$E$3)</xm:f>
          </x14:formula1>
          <xm:sqref>D141</xm:sqref>
        </x14:dataValidation>
        <x14:dataValidation type="list" allowBlank="1" showInputMessage="1" showErrorMessage="1" xr:uid="{5DD6580E-1ED7-4381-B5ED-8F2F3B9E1A21}">
          <x14:formula1>
            <xm:f>IF(AND(D49="nein", D50="nein"),Listen!$E$2:$E$3)</xm:f>
          </x14:formula1>
          <xm:sqref>D54</xm:sqref>
        </x14:dataValidation>
        <x14:dataValidation type="list" allowBlank="1" showInputMessage="1" showErrorMessage="1" xr:uid="{194A9CD4-657C-46D7-9688-C37E48C5DCD8}">
          <x14:formula1>
            <xm:f>IF(OR(D81="Umsetzung begonnen",D81="Umsetzung in Planung"),Listen!$E$2:$E$3)</xm:f>
          </x14:formula1>
          <xm:sqref>D82</xm:sqref>
        </x14:dataValidation>
        <x14:dataValidation type="list" allowBlank="1" showInputMessage="1" showErrorMessage="1" xr:uid="{DB2082B5-4268-4FB3-A7F7-CF3FA44D7E64}">
          <x14:formula1>
            <xm:f>IF(OR(D81="Umsetzung begonnen",D81="Umsetzung in Planung"),Listen!$E$2:$E$3)</xm:f>
          </x14:formula1>
          <xm:sqref>D94</xm:sqref>
        </x14:dataValidation>
        <x14:dataValidation type="list" allowBlank="1" showInputMessage="1" showErrorMessage="1" xr:uid="{04C7C304-85B8-4FD0-A951-9AA73B0B496C}">
          <x14:formula1>
            <xm:f>IF(OR(D81="Umsetzung begonnen",D81="Umsetzung in Planung"),Listen!$E$2:$E$3)</xm:f>
          </x14:formula1>
          <xm:sqref>D93</xm:sqref>
        </x14:dataValidation>
        <x14:dataValidation type="list" allowBlank="1" showInputMessage="1" showErrorMessage="1" xr:uid="{2EB0D638-167E-486D-B631-23670750840F}">
          <x14:formula1>
            <xm:f>IF(OR(D81="Umsetzung begonnen",D81="Umsetzung in Planung"),Listen!$E$2:$E$3)</xm:f>
          </x14:formula1>
          <xm:sqref>D90</xm:sqref>
        </x14:dataValidation>
        <x14:dataValidation type="list" allowBlank="1" showInputMessage="1" showErrorMessage="1" xr:uid="{E2225640-E3A4-4D00-896B-9166AF299BE4}">
          <x14:formula1>
            <xm:f>IF(OR(D81="Umsetzung begonnen",D81="Umsetzung in Planung"),Listen!$E$2:$E$3)</xm:f>
          </x14:formula1>
          <xm:sqref>D92</xm:sqref>
        </x14:dataValidation>
        <x14:dataValidation type="list" allowBlank="1" showInputMessage="1" showErrorMessage="1" xr:uid="{F74E2E37-ACA4-4F8E-862E-64F21109D3A8}">
          <x14:formula1>
            <xm:f>IF(OR(D81="Umsetzung begonnen",D81="Umsetzung in Planung"),Listen!$E$2:$E$3)</xm:f>
          </x14:formula1>
          <xm:sqref>D91</xm:sqref>
        </x14:dataValidation>
        <x14:dataValidation type="list" allowBlank="1" showInputMessage="1" showErrorMessage="1" xr:uid="{CB6C9DB0-F67F-4B92-A625-0294B699D91C}">
          <x14:formula1>
            <xm:f>IF(D98="ja",Listen!$E$2:$E$3)</xm:f>
          </x14:formula1>
          <xm:sqref>D110</xm:sqref>
        </x14:dataValidation>
        <x14:dataValidation type="list" allowBlank="1" showInputMessage="1" showErrorMessage="1" xr:uid="{8DCC1B3C-A821-4C76-B4C0-199F1662BE39}">
          <x14:formula1>
            <xm:f>IF(D98="ja",Listen!$E$2:$E$3)</xm:f>
          </x14:formula1>
          <xm:sqref>D109</xm:sqref>
        </x14:dataValidation>
        <x14:dataValidation type="list" allowBlank="1" showInputMessage="1" showErrorMessage="1" xr:uid="{AC07AB7A-1A1D-484F-9E16-9DF5E693AE9D}">
          <x14:formula1>
            <xm:f>IF(D98="ja",Listen!$E$2:$E$3)</xm:f>
          </x14:formula1>
          <xm:sqref>D108 D122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224F5-58F7-456B-8C4E-0E454B83BF1E}">
  <dimension ref="A1:E148"/>
  <sheetViews>
    <sheetView topLeftCell="A144" workbookViewId="0">
      <selection activeCell="D148" sqref="D148"/>
    </sheetView>
  </sheetViews>
  <sheetFormatPr baseColWidth="10" defaultColWidth="11.5546875" defaultRowHeight="49.95" customHeight="1" x14ac:dyDescent="0.3"/>
  <cols>
    <col min="1" max="1" width="11.5546875" style="50"/>
    <col min="2" max="2" width="50.6640625" style="50" customWidth="1"/>
    <col min="3" max="3" width="3.33203125" style="50" customWidth="1"/>
    <col min="4" max="4" width="70.6640625" style="50" customWidth="1"/>
    <col min="5" max="5" width="80.6640625" style="50" customWidth="1"/>
    <col min="6" max="16384" width="11.5546875" style="50"/>
  </cols>
  <sheetData>
    <row r="1" spans="1:5" ht="49.95" customHeight="1" x14ac:dyDescent="0.3">
      <c r="A1" s="49"/>
      <c r="B1" s="49" t="s">
        <v>490</v>
      </c>
      <c r="C1" s="49"/>
      <c r="D1" s="111" t="s">
        <v>502</v>
      </c>
      <c r="E1" s="116"/>
    </row>
    <row r="2" spans="1:5" ht="49.95" customHeight="1" x14ac:dyDescent="0.3">
      <c r="A2" s="49"/>
      <c r="B2" s="49" t="s">
        <v>184</v>
      </c>
      <c r="C2" s="49"/>
      <c r="D2" s="49" t="s">
        <v>177</v>
      </c>
      <c r="E2" s="49" t="s">
        <v>491</v>
      </c>
    </row>
    <row r="3" spans="1:5" ht="49.95" customHeight="1" x14ac:dyDescent="0.3">
      <c r="A3" s="105"/>
      <c r="B3" s="56" t="s">
        <v>493</v>
      </c>
      <c r="C3" s="55"/>
      <c r="D3" s="56">
        <f>Fragen_Hochschulleitungen!D43</f>
        <v>0</v>
      </c>
      <c r="E3" s="25" t="s">
        <v>492</v>
      </c>
    </row>
    <row r="4" spans="1:5" ht="49.95" customHeight="1" x14ac:dyDescent="0.3">
      <c r="A4" s="51"/>
      <c r="B4" s="52" t="str">
        <f>IF(OR(Fragen_Hochschulleitungen!D43=1,Fragen_Hochschulleitungen!D43= 2,Fragen_Hochschulleitungen!D43= 3,Fragen_Hochschulleitungen!D43=4,Fragen_Hochschulleitungen!D43=5,Fragen_Hochschulleitungen!D43=6,Fragen_Hochschulleitungen!D43=7,Fragen_Hochschulleitungen!D43=8,Fragen_Hochschulleitungen!D43=9,Fragen_Hochschulleitungen!D43=10,Fragen_Hochschulleitungen!D43=11,Fragen_Hochschulleitungen!D43=12), "1. Projekt. Bitte ordnen Sie das Projekt dem Jahr zu.", "")</f>
        <v/>
      </c>
      <c r="C4" s="21"/>
      <c r="D4" s="48"/>
      <c r="E4" s="25" t="s">
        <v>745</v>
      </c>
    </row>
    <row r="5" spans="1:5" ht="49.95" customHeight="1" x14ac:dyDescent="0.3">
      <c r="A5" s="51" t="s">
        <v>138</v>
      </c>
      <c r="B5" s="53" t="str">
        <f>IF(OR(Fragen_Hochschulleitungen!D43=1,Fragen_Hochschulleitungen!D43= 2,Fragen_Hochschulleitungen!D43= 3,Fragen_Hochschulleitungen!D43=4,Fragen_Hochschulleitungen!D43=5,Fragen_Hochschulleitungen!D43=6,Fragen_Hochschulleitungen!D43=7,Fragen_Hochschulleitungen!D43=8,Fragen_Hochschulleitungen!D43=9,Fragen_Hochschulleitungen!D43=10,Fragen_Hochschulleitungen!D43=11,Fragen_Hochschulleitungen!D43=12), "Kontaktdaten der Projektleitung", "")</f>
        <v/>
      </c>
      <c r="C5" s="21"/>
      <c r="D5" s="21"/>
      <c r="E5" s="25" t="s">
        <v>746</v>
      </c>
    </row>
    <row r="6" spans="1:5" ht="49.95" customHeight="1" x14ac:dyDescent="0.3">
      <c r="A6" s="51" t="s">
        <v>519</v>
      </c>
      <c r="B6" s="54" t="str">
        <f>IF(OR(Fragen_Hochschulleitungen!D43=1,Fragen_Hochschulleitungen!D43= 2,Fragen_Hochschulleitungen!D43= 3,Fragen_Hochschulleitungen!D43=4,Fragen_Hochschulleitungen!D43=5,Fragen_Hochschulleitungen!D43=6,Fragen_Hochschulleitungen!D43=7,Fragen_Hochschulleitungen!D43=8,Fragen_Hochschulleitungen!D43=9,Fragen_Hochschulleitungen!D43=10,Fragen_Hochschulleitungen!D43=11,Fragen_Hochschulleitungen!D43=12), "Nachname der Projektleitung", "")</f>
        <v/>
      </c>
      <c r="C6" s="21"/>
      <c r="D6" s="37"/>
      <c r="E6" s="25" t="s">
        <v>747</v>
      </c>
    </row>
    <row r="7" spans="1:5" ht="49.95" customHeight="1" x14ac:dyDescent="0.3">
      <c r="A7" s="51" t="s">
        <v>520</v>
      </c>
      <c r="B7" s="54" t="str">
        <f>IF(OR(Fragen_Hochschulleitungen!D43=1,Fragen_Hochschulleitungen!D43= 2,Fragen_Hochschulleitungen!D43= 3,Fragen_Hochschulleitungen!D43=4,Fragen_Hochschulleitungen!D43=5,Fragen_Hochschulleitungen!D43=6,Fragen_Hochschulleitungen!D43=7,Fragen_Hochschulleitungen!D43=8,Fragen_Hochschulleitungen!D43=9,Fragen_Hochschulleitungen!D43=10,Fragen_Hochschulleitungen!D43=11,Fragen_Hochschulleitungen!D43=12), "Vorname der Projektleitung", "")</f>
        <v/>
      </c>
      <c r="C7" s="21"/>
      <c r="D7" s="37"/>
      <c r="E7" s="25" t="s">
        <v>747</v>
      </c>
    </row>
    <row r="8" spans="1:5" ht="49.95" customHeight="1" x14ac:dyDescent="0.3">
      <c r="A8" s="51" t="s">
        <v>521</v>
      </c>
      <c r="B8" s="54" t="str">
        <f>IF(OR(Fragen_Hochschulleitungen!D43=1,Fragen_Hochschulleitungen!D43= 2,Fragen_Hochschulleitungen!D43= 3,Fragen_Hochschulleitungen!D43=4,Fragen_Hochschulleitungen!D43=5,Fragen_Hochschulleitungen!D43=6,Fragen_Hochschulleitungen!D43=7,Fragen_Hochschulleitungen!D43=8,Fragen_Hochschulleitungen!D43=9,Fragen_Hochschulleitungen!D43=10,Fragen_Hochschulleitungen!D43=11,Fragen_Hochschulleitungen!D43=12), "ggf. Titel der Projektleitung", "")</f>
        <v/>
      </c>
      <c r="C8" s="21"/>
      <c r="D8" s="37"/>
      <c r="E8" s="25" t="s">
        <v>747</v>
      </c>
    </row>
    <row r="9" spans="1:5" ht="49.95" customHeight="1" x14ac:dyDescent="0.3">
      <c r="A9" s="51" t="s">
        <v>522</v>
      </c>
      <c r="B9" s="54" t="str">
        <f>IF(OR(Fragen_Hochschulleitungen!D43=1,Fragen_Hochschulleitungen!D43= 2,Fragen_Hochschulleitungen!D43= 3,Fragen_Hochschulleitungen!D43=4,Fragen_Hochschulleitungen!D43=5,Fragen_Hochschulleitungen!D43=6,Fragen_Hochschulleitungen!D43=7,Fragen_Hochschulleitungen!D43=8,Fragen_Hochschulleitungen!D43=9,Fragen_Hochschulleitungen!D43=10,Fragen_Hochschulleitungen!D43=11,Fragen_Hochschulleitungen!D43=12), "E-Mail-Adresse der Projektleitung", "")</f>
        <v/>
      </c>
      <c r="C9" s="21"/>
      <c r="D9" s="37"/>
      <c r="E9" s="25" t="s">
        <v>747</v>
      </c>
    </row>
    <row r="10" spans="1:5" ht="49.95" customHeight="1" x14ac:dyDescent="0.3">
      <c r="A10" s="51" t="s">
        <v>139</v>
      </c>
      <c r="B10" s="53" t="str">
        <f>IF(OR(Fragen_Hochschulleitungen!D43=1,Fragen_Hochschulleitungen!D43= 2,Fragen_Hochschulleitungen!D43= 3,Fragen_Hochschulleitungen!D43=4,Fragen_Hochschulleitungen!D43=5,Fragen_Hochschulleitungen!D43=6,Fragen_Hochschulleitungen!D43=7,Fragen_Hochschulleitungen!D43=8,Fragen_Hochschulleitungen!D43=9,Fragen_Hochschulleitungen!D43=10,Fragen_Hochschulleitungen!D43=11,Fragen_Hochschulleitungen!D43=12), "Titel des geförderten Projekts", "")</f>
        <v/>
      </c>
      <c r="C10" s="21"/>
      <c r="D10" s="37"/>
      <c r="E10" s="25" t="s">
        <v>747</v>
      </c>
    </row>
    <row r="11" spans="1:5" ht="74.400000000000006" customHeight="1" x14ac:dyDescent="0.3">
      <c r="A11" s="51" t="s">
        <v>140</v>
      </c>
      <c r="B11" s="53" t="str">
        <f>IF(OR(Fragen_Hochschulleitungen!D43=1,Fragen_Hochschulleitungen!D43= 2,Fragen_Hochschulleitungen!D43= 3,Fragen_Hochschulleitungen!D43=4,Fragen_Hochschulleitungen!D43=5,Fragen_Hochschulleitungen!D43=6,Fragen_Hochschulleitungen!D43=7,Fragen_Hochschulleitungen!D43=8,Fragen_Hochschulleitungen!D43=9,Fragen_Hochschulleitungen!D43=10,Fragen_Hochschulleitungen!D43=11,Fragen_Hochschulleitungen!D43=12), "(geplanter) Projektbeginn", "")</f>
        <v/>
      </c>
      <c r="C11" s="21"/>
      <c r="D11" s="35"/>
      <c r="E11" s="25" t="s">
        <v>748</v>
      </c>
    </row>
    <row r="12" spans="1:5" ht="70.2" customHeight="1" x14ac:dyDescent="0.3">
      <c r="A12" s="51" t="s">
        <v>141</v>
      </c>
      <c r="B12" s="53" t="str">
        <f>IF(OR(Fragen_Hochschulleitungen!D43=1,Fragen_Hochschulleitungen!D43= 2,Fragen_Hochschulleitungen!D43= 3,Fragen_Hochschulleitungen!D43=4,Fragen_Hochschulleitungen!D43=5,Fragen_Hochschulleitungen!D43=6,Fragen_Hochschulleitungen!D43=7,Fragen_Hochschulleitungen!D43=8,Fragen_Hochschulleitungen!D43=9,Fragen_Hochschulleitungen!D43=10,Fragen_Hochschulleitungen!D43=11,Fragen_Hochschulleitungen!D43=12), "(geplantes) Projektende", "")</f>
        <v/>
      </c>
      <c r="C12" s="21"/>
      <c r="D12" s="35"/>
      <c r="E12" s="25" t="s">
        <v>749</v>
      </c>
    </row>
    <row r="13" spans="1:5" ht="49.95" customHeight="1" x14ac:dyDescent="0.3">
      <c r="A13" s="51" t="s">
        <v>142</v>
      </c>
      <c r="B13" s="53" t="str">
        <f>IF(OR(Fragen_Hochschulleitungen!D43=1,Fragen_Hochschulleitungen!D43= 2,Fragen_Hochschulleitungen!D43= 3,Fragen_Hochschulleitungen!D43=4,Fragen_Hochschulleitungen!D43=5,Fragen_Hochschulleitungen!D43=6,Fragen_Hochschulleitungen!D43=7,Fragen_Hochschulleitungen!D43=8,Fragen_Hochschulleitungen!D43=9,Fragen_Hochschulleitungen!D43=10,Fragen_Hochschulleitungen!D43=11,Fragen_Hochschulleitungen!D43=12), "(geplante) Laufzeit (in Monaten)", "")</f>
        <v/>
      </c>
      <c r="C13" s="21"/>
      <c r="D13" s="57"/>
      <c r="E13" s="25" t="s">
        <v>750</v>
      </c>
    </row>
    <row r="14" spans="1:5" ht="49.95" customHeight="1" x14ac:dyDescent="0.3">
      <c r="A14" s="51" t="s">
        <v>143</v>
      </c>
      <c r="B14" s="53" t="str">
        <f>IF(OR(Fragen_Hochschulleitungen!D43=1,Fragen_Hochschulleitungen!D43= 2,Fragen_Hochschulleitungen!D43= 3,Fragen_Hochschulleitungen!D43=4,Fragen_Hochschulleitungen!D43=5,Fragen_Hochschulleitungen!D43=6,Fragen_Hochschulleitungen!D43=7,Fragen_Hochschulleitungen!D43=8,Fragen_Hochschulleitungen!D43=9,Fragen_Hochschulleitungen!D43=10,Fragen_Hochschulleitungen!D43=11,Fragen_Hochschulleitungen!D43=12), "Zugewiesene (vorgesehene) Mittel", "")</f>
        <v/>
      </c>
      <c r="C14" s="21"/>
      <c r="D14" s="20"/>
      <c r="E14" s="25" t="s">
        <v>750</v>
      </c>
    </row>
    <row r="15" spans="1:5" ht="49.95" customHeight="1" x14ac:dyDescent="0.3">
      <c r="A15" s="51" t="s">
        <v>144</v>
      </c>
      <c r="B15" s="53" t="str">
        <f>IF(OR(Fragen_Hochschulleitungen!D43=1,Fragen_Hochschulleitungen!D43= 2,Fragen_Hochschulleitungen!D43= 3,Fragen_Hochschulleitungen!D43=4,Fragen_Hochschulleitungen!D43=5,Fragen_Hochschulleitungen!D43=6,Fragen_Hochschulleitungen!D43=7,Fragen_Hochschulleitungen!D43=8,Fragen_Hochschulleitungen!D43=9,Fragen_Hochschulleitungen!D43=10,Fragen_Hochschulleitungen!D43=11,Fragen_Hochschulleitungen!D43=12), "Verausgabte Mittel im ausgewählten Projekt (bis zum Stichtag 31.12.2023)", "")</f>
        <v/>
      </c>
      <c r="C15" s="21"/>
      <c r="D15" s="20"/>
      <c r="E15" s="25" t="s">
        <v>750</v>
      </c>
    </row>
    <row r="16" spans="1:5" ht="49.95" customHeight="1" x14ac:dyDescent="0.3">
      <c r="A16" s="51"/>
      <c r="B16" s="52" t="str">
        <f>IF(OR(Fragen_Hochschulleitungen!D43= 2,Fragen_Hochschulleitungen!D43= 3,Fragen_Hochschulleitungen!D43=4,Fragen_Hochschulleitungen!D43=5,Fragen_Hochschulleitungen!D43=6,Fragen_Hochschulleitungen!D43=7,Fragen_Hochschulleitungen!D43=8,Fragen_Hochschulleitungen!D43=9,Fragen_Hochschulleitungen!D43=10,Fragen_Hochschulleitungen!D43=11,Fragen_Hochschulleitungen!D43=12), "2. Projekt. Bitte ordnen Sie das Projekt dem Jahr zu.", "")</f>
        <v/>
      </c>
      <c r="C16" s="21"/>
      <c r="D16" s="18"/>
      <c r="E16" s="25" t="s">
        <v>751</v>
      </c>
    </row>
    <row r="17" spans="1:5" ht="49.95" customHeight="1" x14ac:dyDescent="0.3">
      <c r="A17" s="51" t="s">
        <v>145</v>
      </c>
      <c r="B17" s="53" t="str">
        <f>IF(OR(Fragen_Hochschulleitungen!D43= 2,Fragen_Hochschulleitungen!D43= 3,Fragen_Hochschulleitungen!D43=4,Fragen_Hochschulleitungen!D43=5,Fragen_Hochschulleitungen!D43=6,Fragen_Hochschulleitungen!D43=7,Fragen_Hochschulleitungen!D43=8,Fragen_Hochschulleitungen!D43=9,Fragen_Hochschulleitungen!D43=10,Fragen_Hochschulleitungen!D43=11,Fragen_Hochschulleitungen!D43=12), "Kontaktdaten der Projektleitung", "")</f>
        <v/>
      </c>
      <c r="C17" s="21"/>
      <c r="D17" s="21"/>
      <c r="E17" s="25" t="s">
        <v>752</v>
      </c>
    </row>
    <row r="18" spans="1:5" ht="49.95" customHeight="1" x14ac:dyDescent="0.3">
      <c r="A18" s="51" t="s">
        <v>523</v>
      </c>
      <c r="B18" s="54" t="str">
        <f>IF(OR(Fragen_Hochschulleitungen!D43= 2,Fragen_Hochschulleitungen!D43= 3,Fragen_Hochschulleitungen!D43=4,Fragen_Hochschulleitungen!D43=5,Fragen_Hochschulleitungen!D43=6,Fragen_Hochschulleitungen!D43=7,Fragen_Hochschulleitungen!D43=8,Fragen_Hochschulleitungen!D43=9,Fragen_Hochschulleitungen!D43=10,Fragen_Hochschulleitungen!D43=11,Fragen_Hochschulleitungen!D43=12), "Nachname der Projektleitung", "")</f>
        <v/>
      </c>
      <c r="C18" s="21"/>
      <c r="D18" s="37"/>
      <c r="E18" s="25" t="s">
        <v>753</v>
      </c>
    </row>
    <row r="19" spans="1:5" ht="49.95" customHeight="1" x14ac:dyDescent="0.3">
      <c r="A19" s="51" t="s">
        <v>524</v>
      </c>
      <c r="B19" s="54" t="str">
        <f>IF(OR(Fragen_Hochschulleitungen!D43= 2,Fragen_Hochschulleitungen!D43= 3,Fragen_Hochschulleitungen!D43=4,Fragen_Hochschulleitungen!D43=5,Fragen_Hochschulleitungen!D43=6,Fragen_Hochschulleitungen!D43=7,Fragen_Hochschulleitungen!D43=8,Fragen_Hochschulleitungen!D43=9,Fragen_Hochschulleitungen!D43=10,Fragen_Hochschulleitungen!D43=11,Fragen_Hochschulleitungen!D43=12), "Vorname der Projektleitung", "")</f>
        <v/>
      </c>
      <c r="C19" s="21"/>
      <c r="D19" s="37"/>
      <c r="E19" s="25" t="s">
        <v>753</v>
      </c>
    </row>
    <row r="20" spans="1:5" ht="49.95" customHeight="1" x14ac:dyDescent="0.3">
      <c r="A20" s="51" t="s">
        <v>525</v>
      </c>
      <c r="B20" s="54" t="str">
        <f>IF(OR(Fragen_Hochschulleitungen!D43= 2,Fragen_Hochschulleitungen!D43= 3,Fragen_Hochschulleitungen!D43=4,Fragen_Hochschulleitungen!D43=5,Fragen_Hochschulleitungen!D43=6,Fragen_Hochschulleitungen!D43=7,Fragen_Hochschulleitungen!D43=8,Fragen_Hochschulleitungen!D43=9,Fragen_Hochschulleitungen!D43=10,Fragen_Hochschulleitungen!D43=11,Fragen_Hochschulleitungen!D43=12), "ggf. Titel der Projektleitung", "")</f>
        <v/>
      </c>
      <c r="C20" s="21"/>
      <c r="D20" s="37"/>
      <c r="E20" s="25" t="s">
        <v>753</v>
      </c>
    </row>
    <row r="21" spans="1:5" ht="49.95" customHeight="1" x14ac:dyDescent="0.3">
      <c r="A21" s="51" t="s">
        <v>526</v>
      </c>
      <c r="B21" s="54" t="str">
        <f>IF(OR(Fragen_Hochschulleitungen!D43= 2,Fragen_Hochschulleitungen!D43= 3,Fragen_Hochschulleitungen!D43=4,Fragen_Hochschulleitungen!D43=5,Fragen_Hochschulleitungen!D43=6,Fragen_Hochschulleitungen!D43=7,Fragen_Hochschulleitungen!D43=8,Fragen_Hochschulleitungen!D43=9,Fragen_Hochschulleitungen!D43=10,Fragen_Hochschulleitungen!D43=11,Fragen_Hochschulleitungen!D43=12), "E-Mail-Adresse der Projektleitung", "")</f>
        <v/>
      </c>
      <c r="C21" s="21"/>
      <c r="D21" s="37"/>
      <c r="E21" s="25" t="s">
        <v>753</v>
      </c>
    </row>
    <row r="22" spans="1:5" ht="49.95" customHeight="1" x14ac:dyDescent="0.3">
      <c r="A22" s="51" t="s">
        <v>146</v>
      </c>
      <c r="B22" s="53" t="str">
        <f>IF(OR(Fragen_Hochschulleitungen!D43= 2,Fragen_Hochschulleitungen!D43= 3,Fragen_Hochschulleitungen!D43=4,Fragen_Hochschulleitungen!D43=5,Fragen_Hochschulleitungen!D43=6,Fragen_Hochschulleitungen!D43=7,Fragen_Hochschulleitungen!D43=8,Fragen_Hochschulleitungen!D43=9,Fragen_Hochschulleitungen!D43=10,Fragen_Hochschulleitungen!D43=11,Fragen_Hochschulleitungen!D43=12), "Titel des geförderten Projekts", "")</f>
        <v/>
      </c>
      <c r="C22" s="21"/>
      <c r="D22" s="37"/>
      <c r="E22" s="25" t="s">
        <v>753</v>
      </c>
    </row>
    <row r="23" spans="1:5" ht="78.599999999999994" customHeight="1" x14ac:dyDescent="0.3">
      <c r="A23" s="51" t="s">
        <v>147</v>
      </c>
      <c r="B23" s="53" t="str">
        <f>IF(OR(Fragen_Hochschulleitungen!D43= 2,Fragen_Hochschulleitungen!D43= 3,Fragen_Hochschulleitungen!D43=4,Fragen_Hochschulleitungen!D43=5,Fragen_Hochschulleitungen!D43=6,Fragen_Hochschulleitungen!D43=7,Fragen_Hochschulleitungen!D43=8,Fragen_Hochschulleitungen!D43=9,Fragen_Hochschulleitungen!D43=10,Fragen_Hochschulleitungen!D43=11,Fragen_Hochschulleitungen!D43=12), "(geplanter) Projektbeginn", "")</f>
        <v/>
      </c>
      <c r="C23" s="21"/>
      <c r="D23" s="35"/>
      <c r="E23" s="25" t="s">
        <v>754</v>
      </c>
    </row>
    <row r="24" spans="1:5" ht="91.8" customHeight="1" x14ac:dyDescent="0.3">
      <c r="A24" s="51" t="s">
        <v>169</v>
      </c>
      <c r="B24" s="53" t="str">
        <f>IF(OR(Fragen_Hochschulleitungen!D43= 2,Fragen_Hochschulleitungen!D43= 3,Fragen_Hochschulleitungen!D43=4,Fragen_Hochschulleitungen!D43=5,Fragen_Hochschulleitungen!D43=6,Fragen_Hochschulleitungen!D43=7,Fragen_Hochschulleitungen!D43=8,Fragen_Hochschulleitungen!D43=9,Fragen_Hochschulleitungen!D43=10,Fragen_Hochschulleitungen!D43=11,Fragen_Hochschulleitungen!D43=12), "(geplantes) Projektende", "")</f>
        <v/>
      </c>
      <c r="C24" s="21"/>
      <c r="D24" s="35"/>
      <c r="E24" s="25" t="s">
        <v>755</v>
      </c>
    </row>
    <row r="25" spans="1:5" ht="49.95" customHeight="1" x14ac:dyDescent="0.3">
      <c r="A25" s="51" t="s">
        <v>209</v>
      </c>
      <c r="B25" s="53" t="str">
        <f>IF(OR(Fragen_Hochschulleitungen!D43= 2,Fragen_Hochschulleitungen!D43= 3,Fragen_Hochschulleitungen!D43=4,Fragen_Hochschulleitungen!D43=5,Fragen_Hochschulleitungen!D43=6,Fragen_Hochschulleitungen!D43=7,Fragen_Hochschulleitungen!D43=8,Fragen_Hochschulleitungen!D43=9,Fragen_Hochschulleitungen!D43=10,Fragen_Hochschulleitungen!D43=11,Fragen_Hochschulleitungen!D43=12), "(geplante) Laufzeit (in Monaten)", "")</f>
        <v/>
      </c>
      <c r="C25" s="21"/>
      <c r="D25" s="48"/>
      <c r="E25" s="25" t="s">
        <v>756</v>
      </c>
    </row>
    <row r="26" spans="1:5" ht="49.95" customHeight="1" x14ac:dyDescent="0.3">
      <c r="A26" s="51" t="s">
        <v>210</v>
      </c>
      <c r="B26" s="53" t="str">
        <f>IF(OR(Fragen_Hochschulleitungen!D43= 2,Fragen_Hochschulleitungen!D43= 3,Fragen_Hochschulleitungen!D43=4,Fragen_Hochschulleitungen!D43=5,Fragen_Hochschulleitungen!D43=6,Fragen_Hochschulleitungen!D43=7,Fragen_Hochschulleitungen!D43=8,Fragen_Hochschulleitungen!D43=9,Fragen_Hochschulleitungen!D43=10,Fragen_Hochschulleitungen!D43=11,Fragen_Hochschulleitungen!D43=12), "Zugewiesene (vorgesehene) Mittel", "")</f>
        <v/>
      </c>
      <c r="C26" s="21"/>
      <c r="D26" s="20"/>
      <c r="E26" s="25" t="s">
        <v>756</v>
      </c>
    </row>
    <row r="27" spans="1:5" ht="49.95" customHeight="1" x14ac:dyDescent="0.3">
      <c r="A27" s="51" t="s">
        <v>211</v>
      </c>
      <c r="B27" s="53" t="str">
        <f>IF(OR(Fragen_Hochschulleitungen!D43= 2,Fragen_Hochschulleitungen!D43= 3,Fragen_Hochschulleitungen!D43=4,Fragen_Hochschulleitungen!D43=5,Fragen_Hochschulleitungen!D43=6,Fragen_Hochschulleitungen!D43=7,Fragen_Hochschulleitungen!D43=8,Fragen_Hochschulleitungen!D43=9,Fragen_Hochschulleitungen!D43=10,Fragen_Hochschulleitungen!D43=11,Fragen_Hochschulleitungen!D43=12), "Verausgabte Mittel im ausgewählten Projekt (bis zum Stichtag 31.12.2023)", "")</f>
        <v/>
      </c>
      <c r="C27" s="21"/>
      <c r="D27" s="20"/>
      <c r="E27" s="25" t="s">
        <v>756</v>
      </c>
    </row>
    <row r="28" spans="1:5" ht="49.95" customHeight="1" x14ac:dyDescent="0.3">
      <c r="A28" s="51"/>
      <c r="B28" s="52" t="str">
        <f>IF(OR(Fragen_Hochschulleitungen!D43= 3,Fragen_Hochschulleitungen!D43=4,Fragen_Hochschulleitungen!D43=5,Fragen_Hochschulleitungen!D43=6,Fragen_Hochschulleitungen!D43=7,Fragen_Hochschulleitungen!D43=8,Fragen_Hochschulleitungen!D43=9,Fragen_Hochschulleitungen!D43=10,Fragen_Hochschulleitungen!D43=11,Fragen_Hochschulleitungen!D43=12), "3. Projekt. Bitte ordnen Sie das Projekt dem Jahr zu.", "")</f>
        <v/>
      </c>
      <c r="C28" s="21"/>
      <c r="D28" s="48"/>
      <c r="E28" s="25" t="s">
        <v>757</v>
      </c>
    </row>
    <row r="29" spans="1:5" ht="49.95" customHeight="1" x14ac:dyDescent="0.3">
      <c r="A29" s="51" t="s">
        <v>212</v>
      </c>
      <c r="B29" s="53" t="str">
        <f>IF(OR(Fragen_Hochschulleitungen!D43= 3,Fragen_Hochschulleitungen!D43=4,Fragen_Hochschulleitungen!D43=5,Fragen_Hochschulleitungen!D43=6,Fragen_Hochschulleitungen!D43=7,Fragen_Hochschulleitungen!D43=8,Fragen_Hochschulleitungen!D43=9,Fragen_Hochschulleitungen!D43=10,Fragen_Hochschulleitungen!D43=11,Fragen_Hochschulleitungen!D43=12), "Kontaktdaten der Projektleitung", "")</f>
        <v/>
      </c>
      <c r="C29" s="21"/>
      <c r="D29" s="22"/>
      <c r="E29" s="25" t="s">
        <v>758</v>
      </c>
    </row>
    <row r="30" spans="1:5" ht="49.95" customHeight="1" x14ac:dyDescent="0.3">
      <c r="A30" s="51" t="s">
        <v>527</v>
      </c>
      <c r="B30" s="54" t="str">
        <f>IF(OR(Fragen_Hochschulleitungen!D43= 3,Fragen_Hochschulleitungen!D43=4,Fragen_Hochschulleitungen!D43=5,Fragen_Hochschulleitungen!D43=6,Fragen_Hochschulleitungen!D43=7,Fragen_Hochschulleitungen!D43=8,Fragen_Hochschulleitungen!D43=9,Fragen_Hochschulleitungen!D43=10,Fragen_Hochschulleitungen!D43=11,Fragen_Hochschulleitungen!D43=12), "Nachname der Projektleitung", "")</f>
        <v/>
      </c>
      <c r="C30" s="21"/>
      <c r="D30" s="37"/>
      <c r="E30" s="25" t="s">
        <v>759</v>
      </c>
    </row>
    <row r="31" spans="1:5" ht="49.95" customHeight="1" x14ac:dyDescent="0.3">
      <c r="A31" s="51" t="s">
        <v>528</v>
      </c>
      <c r="B31" s="54" t="str">
        <f>IF(OR(Fragen_Hochschulleitungen!D43= 3,Fragen_Hochschulleitungen!D43=4,Fragen_Hochschulleitungen!D43=5,Fragen_Hochschulleitungen!D43=6,Fragen_Hochschulleitungen!D43=7,Fragen_Hochschulleitungen!D43=8,Fragen_Hochschulleitungen!D43=9,Fragen_Hochschulleitungen!D43=10,Fragen_Hochschulleitungen!D43=11,Fragen_Hochschulleitungen!D43=12), "Vorname der Projektleitung", "")</f>
        <v/>
      </c>
      <c r="C31" s="21"/>
      <c r="D31" s="37"/>
      <c r="E31" s="25" t="s">
        <v>759</v>
      </c>
    </row>
    <row r="32" spans="1:5" ht="49.95" customHeight="1" x14ac:dyDescent="0.3">
      <c r="A32" s="51" t="s">
        <v>529</v>
      </c>
      <c r="B32" s="54" t="str">
        <f>IF(OR(Fragen_Hochschulleitungen!D43= 3,Fragen_Hochschulleitungen!D43=4,Fragen_Hochschulleitungen!D43=5,Fragen_Hochschulleitungen!D43=6,Fragen_Hochschulleitungen!D43=7,Fragen_Hochschulleitungen!D43=8,Fragen_Hochschulleitungen!D43=9,Fragen_Hochschulleitungen!D43=10,Fragen_Hochschulleitungen!D43=11,Fragen_Hochschulleitungen!D43=12), "ggf. Titel der Projektleitung", "")</f>
        <v/>
      </c>
      <c r="C32" s="21"/>
      <c r="D32" s="37"/>
      <c r="E32" s="25" t="s">
        <v>759</v>
      </c>
    </row>
    <row r="33" spans="1:5" ht="49.95" customHeight="1" x14ac:dyDescent="0.3">
      <c r="A33" s="51" t="s">
        <v>530</v>
      </c>
      <c r="B33" s="54" t="str">
        <f>IF(OR(Fragen_Hochschulleitungen!D43= 3,Fragen_Hochschulleitungen!D43=4,Fragen_Hochschulleitungen!D43=5,Fragen_Hochschulleitungen!D43=6,Fragen_Hochschulleitungen!D43=7,Fragen_Hochschulleitungen!D43=8,Fragen_Hochschulleitungen!D43=9,Fragen_Hochschulleitungen!D43=10,Fragen_Hochschulleitungen!D43=11,Fragen_Hochschulleitungen!D43=12), "E-Mail-Adresse der Projektleitung", "")</f>
        <v/>
      </c>
      <c r="C33" s="21"/>
      <c r="D33" s="37"/>
      <c r="E33" s="25" t="s">
        <v>759</v>
      </c>
    </row>
    <row r="34" spans="1:5" ht="49.95" customHeight="1" x14ac:dyDescent="0.3">
      <c r="A34" s="51" t="s">
        <v>213</v>
      </c>
      <c r="B34" s="53" t="str">
        <f>IF(OR(Fragen_Hochschulleitungen!D43= 3,Fragen_Hochschulleitungen!D43=4,Fragen_Hochschulleitungen!D43=5,Fragen_Hochschulleitungen!D43=6,Fragen_Hochschulleitungen!D43=7,Fragen_Hochschulleitungen!D43=8,Fragen_Hochschulleitungen!D43=9,Fragen_Hochschulleitungen!D43=10,Fragen_Hochschulleitungen!D43=11,Fragen_Hochschulleitungen!D43=12), "Titel des geförderten Projekts", "")</f>
        <v/>
      </c>
      <c r="C34" s="21"/>
      <c r="D34" s="37"/>
      <c r="E34" s="25" t="s">
        <v>759</v>
      </c>
    </row>
    <row r="35" spans="1:5" ht="86.4" customHeight="1" x14ac:dyDescent="0.3">
      <c r="A35" s="51" t="s">
        <v>214</v>
      </c>
      <c r="B35" s="53" t="str">
        <f>IF(OR(Fragen_Hochschulleitungen!D43= 3,Fragen_Hochschulleitungen!D43=4,Fragen_Hochschulleitungen!D43=5,Fragen_Hochschulleitungen!D43=6,Fragen_Hochschulleitungen!D43=7,Fragen_Hochschulleitungen!D43=8,Fragen_Hochschulleitungen!D43=9,Fragen_Hochschulleitungen!D43=10,Fragen_Hochschulleitungen!D43=11,Fragen_Hochschulleitungen!D43=12), "(geplanter) Projektbeginn", "")</f>
        <v/>
      </c>
      <c r="C35" s="21"/>
      <c r="D35" s="35"/>
      <c r="E35" s="25" t="s">
        <v>760</v>
      </c>
    </row>
    <row r="36" spans="1:5" ht="73.8" customHeight="1" x14ac:dyDescent="0.3">
      <c r="A36" s="51" t="s">
        <v>215</v>
      </c>
      <c r="B36" s="53" t="str">
        <f>IF(OR(Fragen_Hochschulleitungen!D43= 3,Fragen_Hochschulleitungen!D43=4,Fragen_Hochschulleitungen!D43=5,Fragen_Hochschulleitungen!D43=6,Fragen_Hochschulleitungen!D43=7,Fragen_Hochschulleitungen!D43=8,Fragen_Hochschulleitungen!D43=9,Fragen_Hochschulleitungen!D43=10,Fragen_Hochschulleitungen!D43=11,Fragen_Hochschulleitungen!D43=12), "(geplantes) Projektende", "")</f>
        <v/>
      </c>
      <c r="C36" s="21"/>
      <c r="D36" s="35"/>
      <c r="E36" s="25" t="s">
        <v>761</v>
      </c>
    </row>
    <row r="37" spans="1:5" ht="49.95" customHeight="1" x14ac:dyDescent="0.3">
      <c r="A37" s="51" t="s">
        <v>233</v>
      </c>
      <c r="B37" s="53" t="str">
        <f>IF(OR(Fragen_Hochschulleitungen!D43= 3,Fragen_Hochschulleitungen!D43=4,Fragen_Hochschulleitungen!D43=5,Fragen_Hochschulleitungen!D43=6,Fragen_Hochschulleitungen!D43=7,Fragen_Hochschulleitungen!D43=8,Fragen_Hochschulleitungen!D43=9,Fragen_Hochschulleitungen!D43=10,Fragen_Hochschulleitungen!D43=11,Fragen_Hochschulleitungen!D43=12), "(geplante) Laufzeit (in Monaten)", "")</f>
        <v/>
      </c>
      <c r="C37" s="21"/>
      <c r="D37" s="58"/>
      <c r="E37" s="25" t="s">
        <v>762</v>
      </c>
    </row>
    <row r="38" spans="1:5" ht="49.95" customHeight="1" x14ac:dyDescent="0.3">
      <c r="A38" s="51" t="s">
        <v>234</v>
      </c>
      <c r="B38" s="53" t="str">
        <f>IF(OR(Fragen_Hochschulleitungen!D43= 3,Fragen_Hochschulleitungen!D43=4,Fragen_Hochschulleitungen!D43=5,Fragen_Hochschulleitungen!D43=6,Fragen_Hochschulleitungen!D43=7,Fragen_Hochschulleitungen!D43=8,Fragen_Hochschulleitungen!D43=9,Fragen_Hochschulleitungen!D43=10,Fragen_Hochschulleitungen!D43=11,Fragen_Hochschulleitungen!D43=12), "Zugewiesene (vorgesehene) Mittel", "")</f>
        <v/>
      </c>
      <c r="C38" s="21"/>
      <c r="D38" s="20"/>
      <c r="E38" s="25" t="s">
        <v>762</v>
      </c>
    </row>
    <row r="39" spans="1:5" ht="49.95" customHeight="1" x14ac:dyDescent="0.3">
      <c r="A39" s="51" t="s">
        <v>235</v>
      </c>
      <c r="B39" s="53" t="str">
        <f>IF(OR(Fragen_Hochschulleitungen!D43= 3,Fragen_Hochschulleitungen!D43=4,Fragen_Hochschulleitungen!D43=5,Fragen_Hochschulleitungen!D43=6,Fragen_Hochschulleitungen!D43=7,Fragen_Hochschulleitungen!D43=8,Fragen_Hochschulleitungen!D43=9,Fragen_Hochschulleitungen!D43=10,Fragen_Hochschulleitungen!D43=11,Fragen_Hochschulleitungen!D43=12), "Verausgabte Mittel im ausgewählten Projekt (bis zum Stichtag 31.12.2023)", "")</f>
        <v/>
      </c>
      <c r="C39" s="21"/>
      <c r="D39" s="20"/>
      <c r="E39" s="25" t="s">
        <v>762</v>
      </c>
    </row>
    <row r="40" spans="1:5" ht="49.95" customHeight="1" x14ac:dyDescent="0.3">
      <c r="A40" s="51"/>
      <c r="B40" s="52" t="str">
        <f>IF(OR(Fragen_Hochschulleitungen!D43=4,Fragen_Hochschulleitungen!D43=5,Fragen_Hochschulleitungen!D43=6,Fragen_Hochschulleitungen!D43=7,Fragen_Hochschulleitungen!D43=8,Fragen_Hochschulleitungen!D43=9,Fragen_Hochschulleitungen!D43=10,Fragen_Hochschulleitungen!D43=11,Fragen_Hochschulleitungen!D43=12), "4. Projekt. Bitte ordnen Sie das Projekt dem Jahr zu.", "")</f>
        <v/>
      </c>
      <c r="C40" s="21"/>
      <c r="D40" s="48"/>
      <c r="E40" s="25" t="s">
        <v>763</v>
      </c>
    </row>
    <row r="41" spans="1:5" ht="49.95" customHeight="1" x14ac:dyDescent="0.3">
      <c r="A41" s="51" t="s">
        <v>236</v>
      </c>
      <c r="B41" s="53" t="str">
        <f>IF(OR(Fragen_Hochschulleitungen!D43=4,Fragen_Hochschulleitungen!D43=5,Fragen_Hochschulleitungen!D43=6,Fragen_Hochschulleitungen!D43=7,Fragen_Hochschulleitungen!D43=8,Fragen_Hochschulleitungen!D43=9,Fragen_Hochschulleitungen!D43=10,Fragen_Hochschulleitungen!D43=11,Fragen_Hochschulleitungen!D43=12), "Kontaktdaten der Projektleitung", "")</f>
        <v/>
      </c>
      <c r="C41" s="21"/>
      <c r="D41" s="22"/>
      <c r="E41" s="25" t="s">
        <v>764</v>
      </c>
    </row>
    <row r="42" spans="1:5" ht="49.95" customHeight="1" x14ac:dyDescent="0.3">
      <c r="A42" s="51" t="s">
        <v>531</v>
      </c>
      <c r="B42" s="54" t="str">
        <f>IF(OR(Fragen_Hochschulleitungen!D43=4,Fragen_Hochschulleitungen!D43=5,Fragen_Hochschulleitungen!D43=6,Fragen_Hochschulleitungen!D43=7,Fragen_Hochschulleitungen!D43=8,Fragen_Hochschulleitungen!D43=9,Fragen_Hochschulleitungen!D43=10,Fragen_Hochschulleitungen!D43=11,Fragen_Hochschulleitungen!D43=12), "Nachname der Projektleitung", "")</f>
        <v/>
      </c>
      <c r="C42" s="21"/>
      <c r="D42" s="37"/>
      <c r="E42" s="25" t="s">
        <v>765</v>
      </c>
    </row>
    <row r="43" spans="1:5" ht="49.95" customHeight="1" x14ac:dyDescent="0.3">
      <c r="A43" s="51" t="s">
        <v>532</v>
      </c>
      <c r="B43" s="54" t="str">
        <f>IF(OR(Fragen_Hochschulleitungen!D43=4,Fragen_Hochschulleitungen!D43=5,Fragen_Hochschulleitungen!D43=6,Fragen_Hochschulleitungen!D43=7,Fragen_Hochschulleitungen!D43=8,Fragen_Hochschulleitungen!D43=9,Fragen_Hochschulleitungen!D43=10,Fragen_Hochschulleitungen!D43=11,Fragen_Hochschulleitungen!D43=12), "Vorname der Projektleitung", "")</f>
        <v/>
      </c>
      <c r="C43" s="21"/>
      <c r="D43" s="37"/>
      <c r="E43" s="25" t="s">
        <v>765</v>
      </c>
    </row>
    <row r="44" spans="1:5" ht="49.95" customHeight="1" x14ac:dyDescent="0.3">
      <c r="A44" s="51" t="s">
        <v>533</v>
      </c>
      <c r="B44" s="54" t="str">
        <f>IF(OR(Fragen_Hochschulleitungen!D43=4,Fragen_Hochschulleitungen!D43=5,Fragen_Hochschulleitungen!D43=6,Fragen_Hochschulleitungen!D43=7,Fragen_Hochschulleitungen!D43=8,Fragen_Hochschulleitungen!D43=9,Fragen_Hochschulleitungen!D43=10,Fragen_Hochschulleitungen!D43=11,Fragen_Hochschulleitungen!D43=12), "ggf. Titel der Projektleitung", "")</f>
        <v/>
      </c>
      <c r="C44" s="21"/>
      <c r="D44" s="37"/>
      <c r="E44" s="25" t="s">
        <v>765</v>
      </c>
    </row>
    <row r="45" spans="1:5" ht="49.95" customHeight="1" x14ac:dyDescent="0.3">
      <c r="A45" s="51" t="s">
        <v>534</v>
      </c>
      <c r="B45" s="54" t="str">
        <f>IF(OR(Fragen_Hochschulleitungen!D43=4,Fragen_Hochschulleitungen!D43=5,Fragen_Hochschulleitungen!D43=6,Fragen_Hochschulleitungen!D43=7,Fragen_Hochschulleitungen!D43=8,Fragen_Hochschulleitungen!D43=9,Fragen_Hochschulleitungen!D43=10,Fragen_Hochschulleitungen!D43=11,Fragen_Hochschulleitungen!D43=12), "E-Mail-Adresse der Projektleitung", "")</f>
        <v/>
      </c>
      <c r="C45" s="21"/>
      <c r="D45" s="37"/>
      <c r="E45" s="25" t="s">
        <v>765</v>
      </c>
    </row>
    <row r="46" spans="1:5" ht="49.95" customHeight="1" x14ac:dyDescent="0.3">
      <c r="A46" s="51" t="s">
        <v>237</v>
      </c>
      <c r="B46" s="53" t="str">
        <f>IF(OR(Fragen_Hochschulleitungen!D43=4,Fragen_Hochschulleitungen!D43=5,Fragen_Hochschulleitungen!D43=6,Fragen_Hochschulleitungen!D43=7,Fragen_Hochschulleitungen!D43=8,Fragen_Hochschulleitungen!D43=9,Fragen_Hochschulleitungen!D43=10,Fragen_Hochschulleitungen!D43=11,Fragen_Hochschulleitungen!D43=12), "Titel des geförderten Projekts", "")</f>
        <v/>
      </c>
      <c r="C46" s="21"/>
      <c r="D46" s="37"/>
      <c r="E46" s="25" t="s">
        <v>765</v>
      </c>
    </row>
    <row r="47" spans="1:5" ht="76.8" customHeight="1" x14ac:dyDescent="0.3">
      <c r="A47" s="51" t="s">
        <v>238</v>
      </c>
      <c r="B47" s="53" t="str">
        <f>IF(OR(Fragen_Hochschulleitungen!D43=4,Fragen_Hochschulleitungen!D43=5,Fragen_Hochschulleitungen!D43=6,Fragen_Hochschulleitungen!D43=7,Fragen_Hochschulleitungen!D43=8,Fragen_Hochschulleitungen!D43=9,Fragen_Hochschulleitungen!D43=10,Fragen_Hochschulleitungen!D43=11,Fragen_Hochschulleitungen!D43=12), "(geplanter) Projektbeginn", "")</f>
        <v/>
      </c>
      <c r="C47" s="21"/>
      <c r="D47" s="35"/>
      <c r="E47" s="25" t="s">
        <v>766</v>
      </c>
    </row>
    <row r="48" spans="1:5" ht="69.599999999999994" customHeight="1" x14ac:dyDescent="0.3">
      <c r="A48" s="51" t="s">
        <v>342</v>
      </c>
      <c r="B48" s="53" t="str">
        <f>IF(OR(Fragen_Hochschulleitungen!D43=4,Fragen_Hochschulleitungen!D43=5,Fragen_Hochschulleitungen!D43=6,Fragen_Hochschulleitungen!D43=7,Fragen_Hochschulleitungen!D43=8,Fragen_Hochschulleitungen!D43=9,Fragen_Hochschulleitungen!D43=10,Fragen_Hochschulleitungen!D43=11,Fragen_Hochschulleitungen!D43=12), "(geplantes) Projektende", "")</f>
        <v/>
      </c>
      <c r="C48" s="21"/>
      <c r="D48" s="35"/>
      <c r="E48" s="25" t="s">
        <v>767</v>
      </c>
    </row>
    <row r="49" spans="1:5" ht="49.95" customHeight="1" x14ac:dyDescent="0.3">
      <c r="A49" s="51" t="s">
        <v>239</v>
      </c>
      <c r="B49" s="53" t="str">
        <f>IF(OR(Fragen_Hochschulleitungen!D43=4,Fragen_Hochschulleitungen!D43=5,Fragen_Hochschulleitungen!D43=6,Fragen_Hochschulleitungen!D43=7,Fragen_Hochschulleitungen!D43=8,Fragen_Hochschulleitungen!D43=9,Fragen_Hochschulleitungen!D43=10,Fragen_Hochschulleitungen!D43=11,Fragen_Hochschulleitungen!D43=12), "(geplante) Laufzeit (in Monaten)", "")</f>
        <v/>
      </c>
      <c r="C49" s="21"/>
      <c r="D49" s="48"/>
      <c r="E49" s="25" t="s">
        <v>768</v>
      </c>
    </row>
    <row r="50" spans="1:5" ht="49.95" customHeight="1" x14ac:dyDescent="0.3">
      <c r="A50" s="51" t="s">
        <v>240</v>
      </c>
      <c r="B50" s="53" t="str">
        <f>IF(OR(Fragen_Hochschulleitungen!D43=4,Fragen_Hochschulleitungen!D43=5,Fragen_Hochschulleitungen!D43=6,Fragen_Hochschulleitungen!D43=7,Fragen_Hochschulleitungen!D43=8,Fragen_Hochschulleitungen!D43=9,Fragen_Hochschulleitungen!D43=10,Fragen_Hochschulleitungen!D43=11,Fragen_Hochschulleitungen!D43=12), "Zugewiesene (vorgesehene) Mittel", "")</f>
        <v/>
      </c>
      <c r="C50" s="21"/>
      <c r="D50" s="20"/>
      <c r="E50" s="25" t="s">
        <v>768</v>
      </c>
    </row>
    <row r="51" spans="1:5" ht="49.95" customHeight="1" x14ac:dyDescent="0.3">
      <c r="A51" s="51" t="s">
        <v>241</v>
      </c>
      <c r="B51" s="53" t="str">
        <f>IF(OR(Fragen_Hochschulleitungen!D43=4,Fragen_Hochschulleitungen!D43=5,Fragen_Hochschulleitungen!D43=6,Fragen_Hochschulleitungen!D43=7,Fragen_Hochschulleitungen!D43=8,Fragen_Hochschulleitungen!D43=9,Fragen_Hochschulleitungen!D43=10,Fragen_Hochschulleitungen!D43=11,Fragen_Hochschulleitungen!D43=12), "Verausgabte Mittel im ausgewählten Projekt (bis zum Stichtag 31.12.2023)", "")</f>
        <v/>
      </c>
      <c r="C51" s="21"/>
      <c r="D51" s="20"/>
      <c r="E51" s="25" t="s">
        <v>768</v>
      </c>
    </row>
    <row r="52" spans="1:5" ht="49.95" customHeight="1" x14ac:dyDescent="0.3">
      <c r="A52" s="51"/>
      <c r="B52" s="52" t="str">
        <f>IF(OR(Fragen_Hochschulleitungen!D43=5,Fragen_Hochschulleitungen!D43=6,Fragen_Hochschulleitungen!D43=7,Fragen_Hochschulleitungen!D43=8,Fragen_Hochschulleitungen!D43=9,Fragen_Hochschulleitungen!D43=10,Fragen_Hochschulleitungen!D43=11,Fragen_Hochschulleitungen!D43=12), "5. Projekt. Bitte ordnen Sie das Projekt dem Jahr zu.", "")</f>
        <v/>
      </c>
      <c r="C52" s="21"/>
      <c r="D52" s="48"/>
      <c r="E52" s="25" t="s">
        <v>769</v>
      </c>
    </row>
    <row r="53" spans="1:5" ht="49.95" customHeight="1" x14ac:dyDescent="0.3">
      <c r="A53" s="51" t="s">
        <v>242</v>
      </c>
      <c r="B53" s="53" t="str">
        <f>IF(OR(Fragen_Hochschulleitungen!D43=5,Fragen_Hochschulleitungen!D43=6,Fragen_Hochschulleitungen!D43=7,Fragen_Hochschulleitungen!D43=8,Fragen_Hochschulleitungen!D43=9,Fragen_Hochschulleitungen!D43=10,Fragen_Hochschulleitungen!D43=11,Fragen_Hochschulleitungen!D43=12), "Kontaktdaten der Projektleitung", "")</f>
        <v/>
      </c>
      <c r="C53" s="21"/>
      <c r="D53" s="23"/>
      <c r="E53" s="25" t="s">
        <v>770</v>
      </c>
    </row>
    <row r="54" spans="1:5" ht="49.95" customHeight="1" x14ac:dyDescent="0.3">
      <c r="A54" s="51" t="s">
        <v>535</v>
      </c>
      <c r="B54" s="54" t="str">
        <f>IF(OR(Fragen_Hochschulleitungen!D43=5,Fragen_Hochschulleitungen!D43=6,Fragen_Hochschulleitungen!D43=7,Fragen_Hochschulleitungen!D43=8,Fragen_Hochschulleitungen!D43=9,Fragen_Hochschulleitungen!D43=10,Fragen_Hochschulleitungen!D43=11,Fragen_Hochschulleitungen!D43=12), "Nachname der Projektleitung", "")</f>
        <v/>
      </c>
      <c r="C54" s="21"/>
      <c r="D54" s="37"/>
      <c r="E54" s="25" t="s">
        <v>771</v>
      </c>
    </row>
    <row r="55" spans="1:5" ht="49.95" customHeight="1" x14ac:dyDescent="0.3">
      <c r="A55" s="51" t="s">
        <v>536</v>
      </c>
      <c r="B55" s="54" t="str">
        <f>IF(OR(Fragen_Hochschulleitungen!D43=5,Fragen_Hochschulleitungen!D43=6,Fragen_Hochschulleitungen!D43=7,Fragen_Hochschulleitungen!D43=8,Fragen_Hochschulleitungen!D43=9,Fragen_Hochschulleitungen!D43=10,Fragen_Hochschulleitungen!D43=11,Fragen_Hochschulleitungen!D43=12), "Vorname der Projektleitung", "")</f>
        <v/>
      </c>
      <c r="C55" s="21"/>
      <c r="D55" s="37"/>
      <c r="E55" s="25" t="s">
        <v>771</v>
      </c>
    </row>
    <row r="56" spans="1:5" ht="49.95" customHeight="1" x14ac:dyDescent="0.3">
      <c r="A56" s="51" t="s">
        <v>537</v>
      </c>
      <c r="B56" s="54" t="str">
        <f>IF(OR(Fragen_Hochschulleitungen!D43=5,Fragen_Hochschulleitungen!D43=6,Fragen_Hochschulleitungen!D43=7,Fragen_Hochschulleitungen!D43=8,Fragen_Hochschulleitungen!D43=9,Fragen_Hochschulleitungen!D43=10,Fragen_Hochschulleitungen!D43=11,Fragen_Hochschulleitungen!D43=12), "ggf. Titel der Projektleitung", "")</f>
        <v/>
      </c>
      <c r="C56" s="21"/>
      <c r="D56" s="37"/>
      <c r="E56" s="25" t="s">
        <v>771</v>
      </c>
    </row>
    <row r="57" spans="1:5" ht="49.95" customHeight="1" x14ac:dyDescent="0.3">
      <c r="A57" s="51" t="s">
        <v>538</v>
      </c>
      <c r="B57" s="54" t="str">
        <f>IF(OR(Fragen_Hochschulleitungen!D43=5,Fragen_Hochschulleitungen!D43=6,Fragen_Hochschulleitungen!D43=7,Fragen_Hochschulleitungen!D43=8,Fragen_Hochschulleitungen!D43=9,Fragen_Hochschulleitungen!D43=10,Fragen_Hochschulleitungen!D43=11,Fragen_Hochschulleitungen!D43=12), "E-Mail-Adresse der Projektleitung", "")</f>
        <v/>
      </c>
      <c r="C57" s="21"/>
      <c r="D57" s="37"/>
      <c r="E57" s="25" t="s">
        <v>771</v>
      </c>
    </row>
    <row r="58" spans="1:5" ht="49.95" customHeight="1" x14ac:dyDescent="0.3">
      <c r="A58" s="51" t="s">
        <v>243</v>
      </c>
      <c r="B58" s="53" t="str">
        <f>IF(OR(Fragen_Hochschulleitungen!D43=5,Fragen_Hochschulleitungen!D43=6,Fragen_Hochschulleitungen!D43=7,Fragen_Hochschulleitungen!D43=8,Fragen_Hochschulleitungen!D43=9,Fragen_Hochschulleitungen!D43=10,Fragen_Hochschulleitungen!D43=11,Fragen_Hochschulleitungen!D43=12), "Titel des geförderten Projekts", "")</f>
        <v/>
      </c>
      <c r="C58" s="21"/>
      <c r="D58" s="37"/>
      <c r="E58" s="25" t="s">
        <v>771</v>
      </c>
    </row>
    <row r="59" spans="1:5" ht="76.2" customHeight="1" x14ac:dyDescent="0.3">
      <c r="A59" s="51" t="s">
        <v>244</v>
      </c>
      <c r="B59" s="53" t="str">
        <f>IF(OR(Fragen_Hochschulleitungen!D43=5,Fragen_Hochschulleitungen!D43=6,Fragen_Hochschulleitungen!D43=7,Fragen_Hochschulleitungen!D43=8,Fragen_Hochschulleitungen!D43=9,Fragen_Hochschulleitungen!D43=10,Fragen_Hochschulleitungen!D43=11,Fragen_Hochschulleitungen!D43=12), "(geplanter) Projektbeginn", "")</f>
        <v/>
      </c>
      <c r="C59" s="21"/>
      <c r="D59" s="35"/>
      <c r="E59" s="25" t="s">
        <v>772</v>
      </c>
    </row>
    <row r="60" spans="1:5" ht="77.400000000000006" customHeight="1" x14ac:dyDescent="0.3">
      <c r="A60" s="51" t="s">
        <v>245</v>
      </c>
      <c r="B60" s="53" t="str">
        <f>IF(OR(Fragen_Hochschulleitungen!D43=5,Fragen_Hochschulleitungen!D43=6,Fragen_Hochschulleitungen!D43=7,Fragen_Hochschulleitungen!D43=8,Fragen_Hochschulleitungen!D43=9,Fragen_Hochschulleitungen!D43=10,Fragen_Hochschulleitungen!D43=11,Fragen_Hochschulleitungen!D43=12), "(geplantes) Projektende", "")</f>
        <v/>
      </c>
      <c r="C60" s="21"/>
      <c r="D60" s="35"/>
      <c r="E60" s="25" t="s">
        <v>773</v>
      </c>
    </row>
    <row r="61" spans="1:5" ht="49.95" customHeight="1" x14ac:dyDescent="0.3">
      <c r="A61" s="51" t="s">
        <v>246</v>
      </c>
      <c r="B61" s="53" t="str">
        <f>IF(OR(Fragen_Hochschulleitungen!D43=5,Fragen_Hochschulleitungen!D43=6,Fragen_Hochschulleitungen!D43=7,Fragen_Hochschulleitungen!D43=8,Fragen_Hochschulleitungen!D43=9,Fragen_Hochschulleitungen!D43=10,Fragen_Hochschulleitungen!D43=11,Fragen_Hochschulleitungen!D43=12), "(geplante) Laufzeit (in Monaten)", "")</f>
        <v/>
      </c>
      <c r="C61" s="21"/>
      <c r="D61" s="48"/>
      <c r="E61" s="25" t="s">
        <v>774</v>
      </c>
    </row>
    <row r="62" spans="1:5" ht="49.95" customHeight="1" x14ac:dyDescent="0.3">
      <c r="A62" s="51" t="s">
        <v>247</v>
      </c>
      <c r="B62" s="53" t="str">
        <f>IF(OR(Fragen_Hochschulleitungen!D43=5,Fragen_Hochschulleitungen!D43=6,Fragen_Hochschulleitungen!D43=7,Fragen_Hochschulleitungen!D43=8,Fragen_Hochschulleitungen!D43=9,Fragen_Hochschulleitungen!D43=10,Fragen_Hochschulleitungen!D43=11,Fragen_Hochschulleitungen!D43=12), "Zugewiesene (vorgesehene) Mittel", "")</f>
        <v/>
      </c>
      <c r="C62" s="21"/>
      <c r="D62" s="20"/>
      <c r="E62" s="25" t="s">
        <v>774</v>
      </c>
    </row>
    <row r="63" spans="1:5" ht="49.95" customHeight="1" x14ac:dyDescent="0.3">
      <c r="A63" s="51" t="s">
        <v>248</v>
      </c>
      <c r="B63" s="53" t="str">
        <f>IF(OR(Fragen_Hochschulleitungen!D43=5,Fragen_Hochschulleitungen!D43=6,Fragen_Hochschulleitungen!D43=7,Fragen_Hochschulleitungen!D43=8,Fragen_Hochschulleitungen!D43=9,Fragen_Hochschulleitungen!D43=10,Fragen_Hochschulleitungen!D43=11,Fragen_Hochschulleitungen!D43=12), "Verausgabte Mittel im ausgewählten Projekt (bis zum Stichtag 31.12.2023)", "")</f>
        <v/>
      </c>
      <c r="C63" s="21"/>
      <c r="D63" s="20"/>
      <c r="E63" s="25" t="s">
        <v>774</v>
      </c>
    </row>
    <row r="64" spans="1:5" ht="49.95" customHeight="1" x14ac:dyDescent="0.3">
      <c r="A64" s="51"/>
      <c r="B64" s="52" t="str">
        <f>IF(OR(Fragen_Hochschulleitungen!D43=6,Fragen_Hochschulleitungen!D43=7,Fragen_Hochschulleitungen!D43=8,Fragen_Hochschulleitungen!D43=9,Fragen_Hochschulleitungen!D43=10,Fragen_Hochschulleitungen!D43=11,Fragen_Hochschulleitungen!D43=12), "6. Projekt. Bitte ordnen Sie das Projekt dem Jahr zu.", "")</f>
        <v/>
      </c>
      <c r="C64" s="21"/>
      <c r="D64" s="48"/>
      <c r="E64" s="25" t="s">
        <v>775</v>
      </c>
    </row>
    <row r="65" spans="1:5" ht="49.95" customHeight="1" x14ac:dyDescent="0.3">
      <c r="A65" s="51" t="s">
        <v>249</v>
      </c>
      <c r="B65" s="53" t="str">
        <f>IF(OR(Fragen_Hochschulleitungen!D43=6,Fragen_Hochschulleitungen!D43=7,Fragen_Hochschulleitungen!D43=8,Fragen_Hochschulleitungen!D43=9,Fragen_Hochschulleitungen!D43=10,Fragen_Hochschulleitungen!D43=11,Fragen_Hochschulleitungen!D43=12), "Kontaktdaten der Projektleitung", "")</f>
        <v/>
      </c>
      <c r="C65" s="21"/>
      <c r="D65" s="23"/>
      <c r="E65" s="25" t="s">
        <v>776</v>
      </c>
    </row>
    <row r="66" spans="1:5" ht="49.95" customHeight="1" x14ac:dyDescent="0.3">
      <c r="A66" s="51" t="s">
        <v>539</v>
      </c>
      <c r="B66" s="54" t="str">
        <f>IF(OR(Fragen_Hochschulleitungen!D43=6,Fragen_Hochschulleitungen!D43=7,Fragen_Hochschulleitungen!D43=8,Fragen_Hochschulleitungen!D43=9,Fragen_Hochschulleitungen!D43=10,Fragen_Hochschulleitungen!D43=11,Fragen_Hochschulleitungen!D43=12), "Nachname der Projektleitung", "")</f>
        <v/>
      </c>
      <c r="C66" s="21"/>
      <c r="D66" s="37"/>
      <c r="E66" s="25" t="s">
        <v>777</v>
      </c>
    </row>
    <row r="67" spans="1:5" ht="49.95" customHeight="1" x14ac:dyDescent="0.3">
      <c r="A67" s="51" t="s">
        <v>540</v>
      </c>
      <c r="B67" s="54" t="str">
        <f>IF(OR(Fragen_Hochschulleitungen!D43=6,Fragen_Hochschulleitungen!D43=7,Fragen_Hochschulleitungen!D43=8,Fragen_Hochschulleitungen!D43=9,Fragen_Hochschulleitungen!D43=10,Fragen_Hochschulleitungen!D43=11,Fragen_Hochschulleitungen!D43=12), "Vorname der Projektleitung", "")</f>
        <v/>
      </c>
      <c r="C67" s="21"/>
      <c r="D67" s="37"/>
      <c r="E67" s="25" t="s">
        <v>777</v>
      </c>
    </row>
    <row r="68" spans="1:5" ht="49.95" customHeight="1" x14ac:dyDescent="0.3">
      <c r="A68" s="51" t="s">
        <v>541</v>
      </c>
      <c r="B68" s="54" t="str">
        <f>IF(OR(Fragen_Hochschulleitungen!D43=6,Fragen_Hochschulleitungen!D43=7,Fragen_Hochschulleitungen!D43=8,Fragen_Hochschulleitungen!D43=9,Fragen_Hochschulleitungen!D43=10,Fragen_Hochschulleitungen!D43=11,Fragen_Hochschulleitungen!D43=12), "ggf. Titel der Projektleitung", "")</f>
        <v/>
      </c>
      <c r="C68" s="21"/>
      <c r="D68" s="37"/>
      <c r="E68" s="25" t="s">
        <v>777</v>
      </c>
    </row>
    <row r="69" spans="1:5" ht="49.95" customHeight="1" x14ac:dyDescent="0.3">
      <c r="A69" s="51" t="s">
        <v>542</v>
      </c>
      <c r="B69" s="54" t="str">
        <f>IF(OR(Fragen_Hochschulleitungen!D43=6,Fragen_Hochschulleitungen!D43=7,Fragen_Hochschulleitungen!D43=8,Fragen_Hochschulleitungen!D43=9,Fragen_Hochschulleitungen!D43=10,Fragen_Hochschulleitungen!D43=11,Fragen_Hochschulleitungen!D43=12), "E-Mail-Adresse der Projektleitung", "")</f>
        <v/>
      </c>
      <c r="C69" s="21"/>
      <c r="D69" s="37"/>
      <c r="E69" s="25" t="s">
        <v>777</v>
      </c>
    </row>
    <row r="70" spans="1:5" ht="49.95" customHeight="1" x14ac:dyDescent="0.3">
      <c r="A70" s="51" t="s">
        <v>250</v>
      </c>
      <c r="B70" s="53" t="str">
        <f>IF(OR(Fragen_Hochschulleitungen!D43=6,Fragen_Hochschulleitungen!D43=7,Fragen_Hochschulleitungen!D43=8,Fragen_Hochschulleitungen!D43=9,Fragen_Hochschulleitungen!D43=10,Fragen_Hochschulleitungen!D43=11,Fragen_Hochschulleitungen!D43=12), "Titel des geförderten Projekts", "")</f>
        <v/>
      </c>
      <c r="C70" s="21"/>
      <c r="D70" s="37"/>
      <c r="E70" s="25" t="s">
        <v>777</v>
      </c>
    </row>
    <row r="71" spans="1:5" ht="66.599999999999994" customHeight="1" x14ac:dyDescent="0.3">
      <c r="A71" s="51" t="s">
        <v>251</v>
      </c>
      <c r="B71" s="53" t="str">
        <f>IF(OR(Fragen_Hochschulleitungen!D43=6,Fragen_Hochschulleitungen!D43=7,Fragen_Hochschulleitungen!D43=8,Fragen_Hochschulleitungen!D43=9,Fragen_Hochschulleitungen!D43=10,Fragen_Hochschulleitungen!D43=11,Fragen_Hochschulleitungen!D43=12), "(geplanter) Projektbeginn", "")</f>
        <v/>
      </c>
      <c r="C71" s="21"/>
      <c r="D71" s="35"/>
      <c r="E71" s="25" t="s">
        <v>778</v>
      </c>
    </row>
    <row r="72" spans="1:5" ht="77.400000000000006" customHeight="1" x14ac:dyDescent="0.3">
      <c r="A72" s="51" t="s">
        <v>252</v>
      </c>
      <c r="B72" s="53" t="str">
        <f>IF(OR(Fragen_Hochschulleitungen!D43=6,Fragen_Hochschulleitungen!D43=7,Fragen_Hochschulleitungen!D43=8,Fragen_Hochschulleitungen!D43=9,Fragen_Hochschulleitungen!D43=10,Fragen_Hochschulleitungen!D43=11,Fragen_Hochschulleitungen!D43=12), "(geplantes) Projektende", "")</f>
        <v/>
      </c>
      <c r="C72" s="21"/>
      <c r="D72" s="35"/>
      <c r="E72" s="25" t="s">
        <v>779</v>
      </c>
    </row>
    <row r="73" spans="1:5" ht="49.95" customHeight="1" x14ac:dyDescent="0.3">
      <c r="A73" s="51" t="s">
        <v>253</v>
      </c>
      <c r="B73" s="53" t="str">
        <f>IF(OR(Fragen_Hochschulleitungen!D43=6,Fragen_Hochschulleitungen!D43=7,Fragen_Hochschulleitungen!D43=8,Fragen_Hochschulleitungen!D43=9,Fragen_Hochschulleitungen!D43=10,Fragen_Hochschulleitungen!D43=11,Fragen_Hochschulleitungen!D43=12), "(geplante) Laufzeit (in Monaten)", "")</f>
        <v/>
      </c>
      <c r="C73" s="21"/>
      <c r="D73" s="48"/>
      <c r="E73" s="25" t="s">
        <v>780</v>
      </c>
    </row>
    <row r="74" spans="1:5" ht="49.95" customHeight="1" x14ac:dyDescent="0.3">
      <c r="A74" s="51" t="s">
        <v>254</v>
      </c>
      <c r="B74" s="53" t="str">
        <f>IF(OR(Fragen_Hochschulleitungen!D43=6,Fragen_Hochschulleitungen!D43=7,Fragen_Hochschulleitungen!D43=8,Fragen_Hochschulleitungen!D43=9,Fragen_Hochschulleitungen!D43=10,Fragen_Hochschulleitungen!D43=11,Fragen_Hochschulleitungen!D43=12), "Zugewiesene (vorgesehene) Mittel", "")</f>
        <v/>
      </c>
      <c r="C74" s="21"/>
      <c r="D74" s="20"/>
      <c r="E74" s="25" t="s">
        <v>780</v>
      </c>
    </row>
    <row r="75" spans="1:5" ht="49.95" customHeight="1" x14ac:dyDescent="0.3">
      <c r="A75" s="51" t="s">
        <v>255</v>
      </c>
      <c r="B75" s="53" t="str">
        <f>IF(OR(Fragen_Hochschulleitungen!D43=6,Fragen_Hochschulleitungen!D43=7,Fragen_Hochschulleitungen!D43=8,Fragen_Hochschulleitungen!D43=9,Fragen_Hochschulleitungen!D43=10,Fragen_Hochschulleitungen!D43=11,Fragen_Hochschulleitungen!D43=12), "Verausgabte Mittel im ausgewählten Projekt (bis zum Stichtag 31.12.2023)", "")</f>
        <v/>
      </c>
      <c r="C75" s="21"/>
      <c r="D75" s="20"/>
      <c r="E75" s="25" t="s">
        <v>780</v>
      </c>
    </row>
    <row r="76" spans="1:5" ht="49.95" customHeight="1" x14ac:dyDescent="0.3">
      <c r="A76" s="51"/>
      <c r="B76" s="52" t="str">
        <f>IF(OR(Fragen_Hochschulleitungen!D43=7,Fragen_Hochschulleitungen!D43=8,Fragen_Hochschulleitungen!D43=9,Fragen_Hochschulleitungen!D43=10,Fragen_Hochschulleitungen!D43=11,Fragen_Hochschulleitungen!D43=12), "7. Projekt. Bitte ordnen Sie das Projekt dem Jahr zu.", "")</f>
        <v/>
      </c>
      <c r="C76" s="21"/>
      <c r="D76" s="59"/>
      <c r="E76" s="25" t="s">
        <v>781</v>
      </c>
    </row>
    <row r="77" spans="1:5" ht="49.95" customHeight="1" x14ac:dyDescent="0.3">
      <c r="A77" s="51" t="s">
        <v>256</v>
      </c>
      <c r="B77" s="53" t="str">
        <f>IF(OR(Fragen_Hochschulleitungen!D43=7,Fragen_Hochschulleitungen!D43=8,Fragen_Hochschulleitungen!D43=9,Fragen_Hochschulleitungen!D43=10,Fragen_Hochschulleitungen!D43=11,Fragen_Hochschulleitungen!D43=12), "Kontaktdaten der Projektleitung", "")</f>
        <v/>
      </c>
      <c r="C77" s="21"/>
      <c r="D77" s="23"/>
      <c r="E77" s="25" t="s">
        <v>782</v>
      </c>
    </row>
    <row r="78" spans="1:5" ht="49.95" customHeight="1" x14ac:dyDescent="0.3">
      <c r="A78" s="51" t="s">
        <v>543</v>
      </c>
      <c r="B78" s="54" t="str">
        <f>IF(OR(Fragen_Hochschulleitungen!D43=7,Fragen_Hochschulleitungen!D43=8,Fragen_Hochschulleitungen!D43=9,Fragen_Hochschulleitungen!D43=10,Fragen_Hochschulleitungen!D43=11,Fragen_Hochschulleitungen!D43=12), "Nachname der Projektleitung", "")</f>
        <v/>
      </c>
      <c r="C78" s="21"/>
      <c r="D78" s="37"/>
      <c r="E78" s="25" t="s">
        <v>783</v>
      </c>
    </row>
    <row r="79" spans="1:5" ht="49.95" customHeight="1" x14ac:dyDescent="0.3">
      <c r="A79" s="51" t="s">
        <v>544</v>
      </c>
      <c r="B79" s="54" t="str">
        <f>IF(OR(Fragen_Hochschulleitungen!D43=7,Fragen_Hochschulleitungen!D43=8,Fragen_Hochschulleitungen!D43=9,Fragen_Hochschulleitungen!D43=10,Fragen_Hochschulleitungen!D43=11,Fragen_Hochschulleitungen!D43=12), "Vorname der Projektleitung", "")</f>
        <v/>
      </c>
      <c r="C79" s="21"/>
      <c r="D79" s="37"/>
      <c r="E79" s="25" t="s">
        <v>783</v>
      </c>
    </row>
    <row r="80" spans="1:5" ht="49.95" customHeight="1" x14ac:dyDescent="0.3">
      <c r="A80" s="51" t="s">
        <v>545</v>
      </c>
      <c r="B80" s="54" t="str">
        <f>IF(OR(Fragen_Hochschulleitungen!D43=7,Fragen_Hochschulleitungen!D43=8,Fragen_Hochschulleitungen!D43=9,Fragen_Hochschulleitungen!D43=10,Fragen_Hochschulleitungen!D43=11,Fragen_Hochschulleitungen!D43=12), "ggf. Titel der Projektleitung", "")</f>
        <v/>
      </c>
      <c r="C80" s="21"/>
      <c r="D80" s="37"/>
      <c r="E80" s="25" t="s">
        <v>783</v>
      </c>
    </row>
    <row r="81" spans="1:5" ht="49.95" customHeight="1" x14ac:dyDescent="0.3">
      <c r="A81" s="51" t="s">
        <v>546</v>
      </c>
      <c r="B81" s="54" t="str">
        <f>IF(OR(Fragen_Hochschulleitungen!D43=7,Fragen_Hochschulleitungen!D43=8,Fragen_Hochschulleitungen!D43=9,Fragen_Hochschulleitungen!D43=10,Fragen_Hochschulleitungen!D43=11,Fragen_Hochschulleitungen!D43=12), "E-Mail-Adresse der Projektleitung", "")</f>
        <v/>
      </c>
      <c r="C81" s="21"/>
      <c r="D81" s="37"/>
      <c r="E81" s="25" t="s">
        <v>783</v>
      </c>
    </row>
    <row r="82" spans="1:5" ht="49.95" customHeight="1" x14ac:dyDescent="0.3">
      <c r="A82" s="51" t="s">
        <v>257</v>
      </c>
      <c r="B82" s="53" t="str">
        <f>IF(OR(Fragen_Hochschulleitungen!D43=7,Fragen_Hochschulleitungen!D43=8,Fragen_Hochschulleitungen!D43=9,Fragen_Hochschulleitungen!D43=10,Fragen_Hochschulleitungen!D43=11,Fragen_Hochschulleitungen!D43=12), "Titel des geförderten Projekts", "")</f>
        <v/>
      </c>
      <c r="C82" s="21"/>
      <c r="D82" s="37"/>
      <c r="E82" s="25" t="s">
        <v>783</v>
      </c>
    </row>
    <row r="83" spans="1:5" ht="72.599999999999994" customHeight="1" x14ac:dyDescent="0.3">
      <c r="A83" s="51" t="s">
        <v>258</v>
      </c>
      <c r="B83" s="53" t="str">
        <f>IF(OR(Fragen_Hochschulleitungen!D43=7,Fragen_Hochschulleitungen!D43=8,Fragen_Hochschulleitungen!D43=9,Fragen_Hochschulleitungen!D43=10,Fragen_Hochschulleitungen!D43=11,Fragen_Hochschulleitungen!D43=12), "(geplanter) Projektbeginn", "")</f>
        <v/>
      </c>
      <c r="C83" s="21"/>
      <c r="D83" s="35"/>
      <c r="E83" s="25" t="s">
        <v>784</v>
      </c>
    </row>
    <row r="84" spans="1:5" ht="65.400000000000006" customHeight="1" x14ac:dyDescent="0.3">
      <c r="A84" s="51" t="s">
        <v>259</v>
      </c>
      <c r="B84" s="53" t="str">
        <f>IF(OR(Fragen_Hochschulleitungen!D43=7,Fragen_Hochschulleitungen!D43=8,Fragen_Hochschulleitungen!D43=9,Fragen_Hochschulleitungen!D43=10,Fragen_Hochschulleitungen!D43=11,Fragen_Hochschulleitungen!D43=12), "(geplantes) Projektende", "")</f>
        <v/>
      </c>
      <c r="C84" s="21"/>
      <c r="D84" s="35"/>
      <c r="E84" s="25" t="s">
        <v>785</v>
      </c>
    </row>
    <row r="85" spans="1:5" ht="49.95" customHeight="1" x14ac:dyDescent="0.3">
      <c r="A85" s="51" t="s">
        <v>260</v>
      </c>
      <c r="B85" s="53" t="str">
        <f>IF(OR(Fragen_Hochschulleitungen!D43=7,Fragen_Hochschulleitungen!D43=8,Fragen_Hochschulleitungen!D43=9,Fragen_Hochschulleitungen!D43=10,Fragen_Hochschulleitungen!D43=11,Fragen_Hochschulleitungen!D43=12), "(geplante) Laufzeit (in Monaten)", "")</f>
        <v/>
      </c>
      <c r="C85" s="21"/>
      <c r="D85" s="48"/>
      <c r="E85" s="25" t="s">
        <v>786</v>
      </c>
    </row>
    <row r="86" spans="1:5" ht="49.95" customHeight="1" x14ac:dyDescent="0.3">
      <c r="A86" s="51" t="s">
        <v>261</v>
      </c>
      <c r="B86" s="53" t="str">
        <f>IF(OR(Fragen_Hochschulleitungen!D43=7,Fragen_Hochschulleitungen!D43=8,Fragen_Hochschulleitungen!D43=9,Fragen_Hochschulleitungen!D43=10,Fragen_Hochschulleitungen!D43=11,Fragen_Hochschulleitungen!D43=12), "Zugewiesene (vorgesehene) Mittel", "")</f>
        <v/>
      </c>
      <c r="C86" s="21"/>
      <c r="D86" s="20"/>
      <c r="E86" s="25" t="s">
        <v>786</v>
      </c>
    </row>
    <row r="87" spans="1:5" ht="49.95" customHeight="1" x14ac:dyDescent="0.3">
      <c r="A87" s="51" t="s">
        <v>441</v>
      </c>
      <c r="B87" s="53" t="str">
        <f>IF(OR(Fragen_Hochschulleitungen!D43=7,Fragen_Hochschulleitungen!D43=8,Fragen_Hochschulleitungen!D43=9,Fragen_Hochschulleitungen!D43=10,Fragen_Hochschulleitungen!D43=11,Fragen_Hochschulleitungen!D43=12), "Verausgabte Mittel im ausgewählten Projekt (bis zum Stichtag 31.12.2023)", "")</f>
        <v/>
      </c>
      <c r="C87" s="21"/>
      <c r="D87" s="20"/>
      <c r="E87" s="25" t="s">
        <v>786</v>
      </c>
    </row>
    <row r="88" spans="1:5" ht="49.95" customHeight="1" x14ac:dyDescent="0.3">
      <c r="A88" s="51"/>
      <c r="B88" s="52" t="str">
        <f>IF(OR(Fragen_Hochschulleitungen!D43=8,Fragen_Hochschulleitungen!D43=9,Fragen_Hochschulleitungen!D43=10,Fragen_Hochschulleitungen!D43=11,Fragen_Hochschulleitungen!D43=12), "8. Projekt. Bitte ordnen Sie das Projekt dem Jahr zu.", "")</f>
        <v/>
      </c>
      <c r="C88" s="21"/>
      <c r="D88" s="48"/>
      <c r="E88" s="25" t="s">
        <v>787</v>
      </c>
    </row>
    <row r="89" spans="1:5" ht="49.95" customHeight="1" x14ac:dyDescent="0.3">
      <c r="A89" s="51" t="s">
        <v>442</v>
      </c>
      <c r="B89" s="53" t="str">
        <f>IF(OR(Fragen_Hochschulleitungen!D43=8,Fragen_Hochschulleitungen!D43=9,Fragen_Hochschulleitungen!D43=10,Fragen_Hochschulleitungen!D43=11,Fragen_Hochschulleitungen!D43=12), "Kontaktdaten der Projektleitung", "")</f>
        <v/>
      </c>
      <c r="C89" s="21"/>
      <c r="D89" s="23"/>
      <c r="E89" s="25" t="s">
        <v>788</v>
      </c>
    </row>
    <row r="90" spans="1:5" ht="49.95" customHeight="1" x14ac:dyDescent="0.3">
      <c r="A90" s="51" t="s">
        <v>547</v>
      </c>
      <c r="B90" s="54" t="str">
        <f>IF(OR(Fragen_Hochschulleitungen!D43=8,Fragen_Hochschulleitungen!D43=9,Fragen_Hochschulleitungen!D43=10,Fragen_Hochschulleitungen!D43=11,Fragen_Hochschulleitungen!D43=12), "Nachname der Projektleitung", "")</f>
        <v/>
      </c>
      <c r="C90" s="21"/>
      <c r="D90" s="37"/>
      <c r="E90" s="25" t="s">
        <v>744</v>
      </c>
    </row>
    <row r="91" spans="1:5" ht="49.95" customHeight="1" x14ac:dyDescent="0.3">
      <c r="A91" s="51" t="s">
        <v>548</v>
      </c>
      <c r="B91" s="54" t="str">
        <f>IF(OR(Fragen_Hochschulleitungen!D43=8,Fragen_Hochschulleitungen!D43=9,Fragen_Hochschulleitungen!D43=10,Fragen_Hochschulleitungen!D43=11,Fragen_Hochschulleitungen!D43=12), "Vorname der Projektleitung", "")</f>
        <v/>
      </c>
      <c r="C91" s="21"/>
      <c r="D91" s="37"/>
      <c r="E91" s="25" t="s">
        <v>744</v>
      </c>
    </row>
    <row r="92" spans="1:5" ht="49.95" customHeight="1" x14ac:dyDescent="0.3">
      <c r="A92" s="51" t="s">
        <v>549</v>
      </c>
      <c r="B92" s="54" t="str">
        <f>IF(OR(Fragen_Hochschulleitungen!D43=8,Fragen_Hochschulleitungen!D43=9,Fragen_Hochschulleitungen!D43=10,Fragen_Hochschulleitungen!D43=11,Fragen_Hochschulleitungen!D43=12), "ggf. Titel der Projektleitung", "")</f>
        <v/>
      </c>
      <c r="C92" s="21"/>
      <c r="D92" s="37"/>
      <c r="E92" s="25" t="s">
        <v>744</v>
      </c>
    </row>
    <row r="93" spans="1:5" ht="49.95" customHeight="1" x14ac:dyDescent="0.3">
      <c r="A93" s="51" t="s">
        <v>550</v>
      </c>
      <c r="B93" s="54" t="str">
        <f>IF(OR(Fragen_Hochschulleitungen!D43=8,Fragen_Hochschulleitungen!D43=9,Fragen_Hochschulleitungen!D43=10,Fragen_Hochschulleitungen!D43=11,Fragen_Hochschulleitungen!D43=12), "E-Mail-Adresse der Projektleitung", "")</f>
        <v/>
      </c>
      <c r="C93" s="21"/>
      <c r="D93" s="37"/>
      <c r="E93" s="25" t="s">
        <v>744</v>
      </c>
    </row>
    <row r="94" spans="1:5" ht="49.95" customHeight="1" x14ac:dyDescent="0.3">
      <c r="A94" s="51" t="s">
        <v>443</v>
      </c>
      <c r="B94" s="53" t="str">
        <f>IF(OR(Fragen_Hochschulleitungen!D43=8,Fragen_Hochschulleitungen!D43=9,Fragen_Hochschulleitungen!D43=10,Fragen_Hochschulleitungen!D43=11,Fragen_Hochschulleitungen!D43=12), "Titel des geförderten Projekts", "")</f>
        <v/>
      </c>
      <c r="C94" s="21"/>
      <c r="D94" s="37"/>
      <c r="E94" s="25" t="s">
        <v>744</v>
      </c>
    </row>
    <row r="95" spans="1:5" ht="76.2" customHeight="1" x14ac:dyDescent="0.3">
      <c r="A95" s="51" t="s">
        <v>444</v>
      </c>
      <c r="B95" s="53" t="str">
        <f>IF(OR(Fragen_Hochschulleitungen!D43=8,Fragen_Hochschulleitungen!D43=9,Fragen_Hochschulleitungen!D43=10,Fragen_Hochschulleitungen!D43=11,Fragen_Hochschulleitungen!D43=12), "(geplanter) Projektbeginn", "")</f>
        <v/>
      </c>
      <c r="C95" s="21"/>
      <c r="D95" s="35"/>
      <c r="E95" s="25" t="s">
        <v>789</v>
      </c>
    </row>
    <row r="96" spans="1:5" ht="75.599999999999994" customHeight="1" x14ac:dyDescent="0.3">
      <c r="A96" s="51" t="s">
        <v>445</v>
      </c>
      <c r="B96" s="53" t="str">
        <f>IF(OR(Fragen_Hochschulleitungen!D43=8,Fragen_Hochschulleitungen!D43=9,Fragen_Hochschulleitungen!D43=10,Fragen_Hochschulleitungen!D43=11,Fragen_Hochschulleitungen!D43=12), "(geplantes) Projektende", "")</f>
        <v/>
      </c>
      <c r="C96" s="21"/>
      <c r="D96" s="35"/>
      <c r="E96" s="25" t="s">
        <v>790</v>
      </c>
    </row>
    <row r="97" spans="1:5" ht="49.95" customHeight="1" x14ac:dyDescent="0.3">
      <c r="A97" s="51" t="s">
        <v>446</v>
      </c>
      <c r="B97" s="53" t="str">
        <f>IF(OR(Fragen_Hochschulleitungen!D43=8,Fragen_Hochschulleitungen!D43=9,Fragen_Hochschulleitungen!D43=10,Fragen_Hochschulleitungen!D43=11,Fragen_Hochschulleitungen!D43=12), "(geplante) Laufzeit (in Monaten)", "")</f>
        <v/>
      </c>
      <c r="C97" s="21"/>
      <c r="D97" s="48"/>
      <c r="E97" s="25" t="s">
        <v>791</v>
      </c>
    </row>
    <row r="98" spans="1:5" ht="49.95" customHeight="1" x14ac:dyDescent="0.3">
      <c r="A98" s="51" t="s">
        <v>447</v>
      </c>
      <c r="B98" s="53" t="str">
        <f>IF(OR(Fragen_Hochschulleitungen!D43=8,Fragen_Hochschulleitungen!D43=9,Fragen_Hochschulleitungen!D43=10,Fragen_Hochschulleitungen!D43=11,Fragen_Hochschulleitungen!D43=12), "Zugewiesene (vorgesehene) Mittel", "")</f>
        <v/>
      </c>
      <c r="C98" s="21"/>
      <c r="D98" s="20"/>
      <c r="E98" s="25" t="s">
        <v>791</v>
      </c>
    </row>
    <row r="99" spans="1:5" ht="49.95" customHeight="1" x14ac:dyDescent="0.3">
      <c r="A99" s="51" t="s">
        <v>448</v>
      </c>
      <c r="B99" s="53" t="str">
        <f>IF(OR(Fragen_Hochschulleitungen!D43=8,Fragen_Hochschulleitungen!D43=9,Fragen_Hochschulleitungen!D43=10,Fragen_Hochschulleitungen!D43=11,Fragen_Hochschulleitungen!D43=12), "Verausgabte Mittel im ausgewählten Projekt (bis zum Stichtag 31.12.2023)", "")</f>
        <v/>
      </c>
      <c r="C99" s="21"/>
      <c r="D99" s="20"/>
      <c r="E99" s="25" t="s">
        <v>791</v>
      </c>
    </row>
    <row r="100" spans="1:5" ht="49.95" customHeight="1" x14ac:dyDescent="0.3">
      <c r="A100" s="109"/>
      <c r="B100" s="52" t="str">
        <f>IF(OR(Fragen_Hochschulleitungen!D43=9,Fragen_Hochschulleitungen!D43=10,Fragen_Hochschulleitungen!D43=11,Fragen_Hochschulleitungen!D43=12), "9. Projekt. Bitte ordnen Sie das Projekt dem Jahr zu.", "")</f>
        <v/>
      </c>
      <c r="C100" s="53"/>
      <c r="D100" s="118"/>
      <c r="E100" s="25" t="s">
        <v>792</v>
      </c>
    </row>
    <row r="101" spans="1:5" ht="49.95" customHeight="1" x14ac:dyDescent="0.3">
      <c r="A101" s="51" t="s">
        <v>518</v>
      </c>
      <c r="B101" s="53" t="str">
        <f>IF(OR(Fragen_Hochschulleitungen!D43=9,Fragen_Hochschulleitungen!D43=10,Fragen_Hochschulleitungen!D43=11,Fragen_Hochschulleitungen!D43=12), "Kontaktdaten der Projektleitung", "")</f>
        <v/>
      </c>
      <c r="C101" s="53"/>
      <c r="D101" s="53"/>
      <c r="E101" s="25" t="s">
        <v>793</v>
      </c>
    </row>
    <row r="102" spans="1:5" ht="49.95" customHeight="1" x14ac:dyDescent="0.3">
      <c r="A102" s="51" t="s">
        <v>602</v>
      </c>
      <c r="B102" s="53" t="str">
        <f>IF(OR(Fragen_Hochschulleitungen!D43=9,Fragen_Hochschulleitungen!D43=10,Fragen_Hochschulleitungen!D43=11,Fragen_Hochschulleitungen!D43=12), "Nachname der Projektleitung", "")</f>
        <v/>
      </c>
      <c r="C102" s="53"/>
      <c r="D102" s="102"/>
      <c r="E102" s="25" t="s">
        <v>794</v>
      </c>
    </row>
    <row r="103" spans="1:5" ht="49.95" customHeight="1" x14ac:dyDescent="0.3">
      <c r="A103" s="51" t="s">
        <v>603</v>
      </c>
      <c r="B103" s="53" t="str">
        <f>IF(OR(Fragen_Hochschulleitungen!D43=9,Fragen_Hochschulleitungen!D43=10,Fragen_Hochschulleitungen!D43=11,Fragen_Hochschulleitungen!D43=12), "Vorname der Projektleitung", "")</f>
        <v/>
      </c>
      <c r="C103" s="53"/>
      <c r="D103" s="102"/>
      <c r="E103" s="25" t="s">
        <v>795</v>
      </c>
    </row>
    <row r="104" spans="1:5" ht="49.95" customHeight="1" x14ac:dyDescent="0.3">
      <c r="A104" s="51" t="s">
        <v>604</v>
      </c>
      <c r="B104" s="53" t="str">
        <f>IF(OR(Fragen_Hochschulleitungen!D43=9,Fragen_Hochschulleitungen!D43=10,Fragen_Hochschulleitungen!D43=11,Fragen_Hochschulleitungen!D43=12), "ggf. Titel der Projektleitung", "")</f>
        <v/>
      </c>
      <c r="C104" s="53"/>
      <c r="D104" s="102"/>
      <c r="E104" s="25" t="s">
        <v>794</v>
      </c>
    </row>
    <row r="105" spans="1:5" ht="49.95" customHeight="1" x14ac:dyDescent="0.3">
      <c r="A105" s="51" t="s">
        <v>605</v>
      </c>
      <c r="B105" s="53" t="str">
        <f>IF(OR(Fragen_Hochschulleitungen!D43=9,Fragen_Hochschulleitungen!D43=10,Fragen_Hochschulleitungen!D43=11,Fragen_Hochschulleitungen!D43=12), "E-Mail-Adresse der Projektleitung", "")</f>
        <v/>
      </c>
      <c r="C105" s="53"/>
      <c r="D105" s="102"/>
      <c r="E105" s="25" t="s">
        <v>794</v>
      </c>
    </row>
    <row r="106" spans="1:5" ht="49.95" customHeight="1" x14ac:dyDescent="0.3">
      <c r="A106" s="51" t="s">
        <v>606</v>
      </c>
      <c r="B106" s="53" t="str">
        <f>IF(OR(Fragen_Hochschulleitungen!D43=9,Fragen_Hochschulleitungen!D43=10,Fragen_Hochschulleitungen!D43=11,Fragen_Hochschulleitungen!D43=12), "Titel des geförderten Projekts", "")</f>
        <v/>
      </c>
      <c r="C106" s="53"/>
      <c r="D106" s="102"/>
      <c r="E106" s="25" t="s">
        <v>794</v>
      </c>
    </row>
    <row r="107" spans="1:5" ht="73.2" customHeight="1" x14ac:dyDescent="0.3">
      <c r="A107" s="51" t="s">
        <v>607</v>
      </c>
      <c r="B107" s="53" t="str">
        <f>IF(OR(Fragen_Hochschulleitungen!D43=9,Fragen_Hochschulleitungen!D43=10,Fragen_Hochschulleitungen!D43=11,Fragen_Hochschulleitungen!D43=12), "(geplanter) Projektbeginn", "")</f>
        <v/>
      </c>
      <c r="C107" s="53"/>
      <c r="D107" s="103"/>
      <c r="E107" s="25" t="s">
        <v>796</v>
      </c>
    </row>
    <row r="108" spans="1:5" ht="81.599999999999994" customHeight="1" x14ac:dyDescent="0.3">
      <c r="A108" s="51" t="s">
        <v>608</v>
      </c>
      <c r="B108" s="53" t="str">
        <f>IF(OR(Fragen_Hochschulleitungen!D43=9,Fragen_Hochschulleitungen!D43=10,Fragen_Hochschulleitungen!D43=11,Fragen_Hochschulleitungen!D43=12), "(geplantes) Projektende", "")</f>
        <v/>
      </c>
      <c r="C108" s="53"/>
      <c r="D108" s="103"/>
      <c r="E108" s="25" t="s">
        <v>797</v>
      </c>
    </row>
    <row r="109" spans="1:5" ht="49.95" customHeight="1" x14ac:dyDescent="0.3">
      <c r="A109" s="51" t="s">
        <v>609</v>
      </c>
      <c r="B109" s="53" t="str">
        <f>IF(OR(Fragen_Hochschulleitungen!D43=9,Fragen_Hochschulleitungen!D43=10,Fragen_Hochschulleitungen!D43=11,Fragen_Hochschulleitungen!D43=12), "(geplante) Laufzeit (in Monaten)", "")</f>
        <v/>
      </c>
      <c r="C109" s="53"/>
      <c r="D109" s="104"/>
      <c r="E109" s="25" t="s">
        <v>798</v>
      </c>
    </row>
    <row r="110" spans="1:5" ht="49.95" customHeight="1" x14ac:dyDescent="0.3">
      <c r="A110" s="51" t="s">
        <v>610</v>
      </c>
      <c r="B110" s="53" t="str">
        <f>IF(OR(Fragen_Hochschulleitungen!D43=9,Fragen_Hochschulleitungen!D43=10,Fragen_Hochschulleitungen!D43=11,Fragen_Hochschulleitungen!D43=12), "Zugewiesene (vorgesehene) Mittel", "")</f>
        <v/>
      </c>
      <c r="C110" s="53"/>
      <c r="D110" s="100"/>
      <c r="E110" s="25" t="s">
        <v>798</v>
      </c>
    </row>
    <row r="111" spans="1:5" ht="49.95" customHeight="1" x14ac:dyDescent="0.3">
      <c r="A111" s="51" t="s">
        <v>611</v>
      </c>
      <c r="B111" s="53" t="str">
        <f>IF(OR(Fragen_Hochschulleitungen!D43=9,Fragen_Hochschulleitungen!D43=10,Fragen_Hochschulleitungen!D43=11,Fragen_Hochschulleitungen!D43=12), "Verausgabte Mittel im ausgewählten Projekt (bis zum Stichtag 31.12.2023)", "")</f>
        <v/>
      </c>
      <c r="C111" s="53"/>
      <c r="D111" s="100"/>
      <c r="E111" s="25" t="s">
        <v>798</v>
      </c>
    </row>
    <row r="112" spans="1:5" ht="49.95" customHeight="1" x14ac:dyDescent="0.3">
      <c r="A112" s="51"/>
      <c r="B112" s="52" t="str">
        <f>IF(OR(Fragen_Hochschulleitungen!D43=10,Fragen_Hochschulleitungen!D43=11,Fragen_Hochschulleitungen!D43=12), "10. Projekt. Bitte ordnen Sie das Projekt dem Jahr zu.", "")</f>
        <v/>
      </c>
      <c r="C112" s="53"/>
      <c r="D112" s="99"/>
      <c r="E112" s="25" t="s">
        <v>799</v>
      </c>
    </row>
    <row r="113" spans="1:5" ht="49.95" customHeight="1" x14ac:dyDescent="0.3">
      <c r="A113" s="51" t="s">
        <v>612</v>
      </c>
      <c r="B113" s="53" t="str">
        <f>IF(OR(Fragen_Hochschulleitungen!D43=10,Fragen_Hochschulleitungen!D43=11,Fragen_Hochschulleitungen!D43=12), "Kontaktdaten der Projektleitung", "")</f>
        <v/>
      </c>
      <c r="C113" s="53"/>
      <c r="D113" s="53"/>
      <c r="E113" s="25" t="s">
        <v>800</v>
      </c>
    </row>
    <row r="114" spans="1:5" ht="49.95" customHeight="1" x14ac:dyDescent="0.3">
      <c r="A114" s="51" t="s">
        <v>633</v>
      </c>
      <c r="B114" s="53" t="str">
        <f>IF(OR(Fragen_Hochschulleitungen!D43=10,Fragen_Hochschulleitungen!D43=11,Fragen_Hochschulleitungen!D43=12), "Nachname der Projektleitung", "")</f>
        <v/>
      </c>
      <c r="C114" s="53"/>
      <c r="D114" s="102"/>
      <c r="E114" s="25" t="s">
        <v>801</v>
      </c>
    </row>
    <row r="115" spans="1:5" ht="49.95" customHeight="1" x14ac:dyDescent="0.3">
      <c r="A115" s="51" t="s">
        <v>634</v>
      </c>
      <c r="B115" s="53" t="str">
        <f>IF(OR(Fragen_Hochschulleitungen!D43=10,Fragen_Hochschulleitungen!D43=11,Fragen_Hochschulleitungen!D43=12), "Vorname der Projektleitung", "")</f>
        <v/>
      </c>
      <c r="C115" s="53"/>
      <c r="D115" s="102"/>
      <c r="E115" s="25" t="s">
        <v>801</v>
      </c>
    </row>
    <row r="116" spans="1:5" ht="49.95" customHeight="1" x14ac:dyDescent="0.3">
      <c r="A116" s="51" t="s">
        <v>635</v>
      </c>
      <c r="B116" s="53" t="str">
        <f>IF(OR(Fragen_Hochschulleitungen!D43=10,Fragen_Hochschulleitungen!D43=11,Fragen_Hochschulleitungen!D43=12), "ggf. Titel der Projektleitung", "")</f>
        <v/>
      </c>
      <c r="C116" s="53"/>
      <c r="D116" s="102"/>
      <c r="E116" s="25" t="s">
        <v>801</v>
      </c>
    </row>
    <row r="117" spans="1:5" ht="49.95" customHeight="1" x14ac:dyDescent="0.3">
      <c r="A117" s="51" t="s">
        <v>636</v>
      </c>
      <c r="B117" s="53" t="str">
        <f>IF(OR(Fragen_Hochschulleitungen!D43=10,Fragen_Hochschulleitungen!D43=11,Fragen_Hochschulleitungen!D43=12), "E-Mail-Adresse der Projektleitung", "")</f>
        <v/>
      </c>
      <c r="C117" s="53"/>
      <c r="D117" s="102"/>
      <c r="E117" s="25" t="s">
        <v>801</v>
      </c>
    </row>
    <row r="118" spans="1:5" ht="49.95" customHeight="1" x14ac:dyDescent="0.3">
      <c r="A118" s="51" t="s">
        <v>613</v>
      </c>
      <c r="B118" s="53" t="str">
        <f>IF(OR(Fragen_Hochschulleitungen!D43=10,Fragen_Hochschulleitungen!D43=11,Fragen_Hochschulleitungen!D43=12), "Titel des geförderten Projekts", "")</f>
        <v/>
      </c>
      <c r="C118" s="53"/>
      <c r="D118" s="102"/>
      <c r="E118" s="25" t="s">
        <v>801</v>
      </c>
    </row>
    <row r="119" spans="1:5" ht="73.8" customHeight="1" x14ac:dyDescent="0.3">
      <c r="A119" s="51" t="s">
        <v>614</v>
      </c>
      <c r="B119" s="53" t="str">
        <f>IF(OR(Fragen_Hochschulleitungen!D43=10,Fragen_Hochschulleitungen!D43=11,Fragen_Hochschulleitungen!D43=12), "(geplanter) Projektbeginn", "")</f>
        <v/>
      </c>
      <c r="C119" s="53"/>
      <c r="D119" s="103"/>
      <c r="E119" s="25" t="s">
        <v>802</v>
      </c>
    </row>
    <row r="120" spans="1:5" ht="78.599999999999994" customHeight="1" x14ac:dyDescent="0.3">
      <c r="A120" s="51" t="s">
        <v>615</v>
      </c>
      <c r="B120" s="53" t="str">
        <f>IF(OR(Fragen_Hochschulleitungen!D43=10,Fragen_Hochschulleitungen!D43=11,Fragen_Hochschulleitungen!D43=12), "(geplantes) Projektende", "")</f>
        <v/>
      </c>
      <c r="C120" s="53"/>
      <c r="D120" s="103"/>
      <c r="E120" s="25" t="s">
        <v>803</v>
      </c>
    </row>
    <row r="121" spans="1:5" ht="49.95" customHeight="1" x14ac:dyDescent="0.3">
      <c r="A121" s="51" t="s">
        <v>616</v>
      </c>
      <c r="B121" s="53" t="str">
        <f>IF(OR(Fragen_Hochschulleitungen!D43=10,Fragen_Hochschulleitungen!D43=11,Fragen_Hochschulleitungen!D43=12), "(geplante) Laufzeit (in Monaten)", "")</f>
        <v/>
      </c>
      <c r="C121" s="53"/>
      <c r="D121" s="104"/>
      <c r="E121" s="25" t="s">
        <v>804</v>
      </c>
    </row>
    <row r="122" spans="1:5" ht="49.95" customHeight="1" x14ac:dyDescent="0.3">
      <c r="A122" s="51" t="s">
        <v>617</v>
      </c>
      <c r="B122" s="53" t="str">
        <f>IF(OR(Fragen_Hochschulleitungen!D43=10,Fragen_Hochschulleitungen!D43=11,Fragen_Hochschulleitungen!D43=12), "Zugewiesene (vorgesehene) Mittel", "")</f>
        <v/>
      </c>
      <c r="C122" s="53"/>
      <c r="D122" s="100"/>
      <c r="E122" s="25" t="s">
        <v>804</v>
      </c>
    </row>
    <row r="123" spans="1:5" ht="49.95" customHeight="1" x14ac:dyDescent="0.3">
      <c r="A123" s="51" t="s">
        <v>618</v>
      </c>
      <c r="B123" s="53" t="str">
        <f>IF(OR(Fragen_Hochschulleitungen!D43=10,Fragen_Hochschulleitungen!D43=11,Fragen_Hochschulleitungen!D43=12), "Verausgabte Mittel im ausgewählten Projekt (bis zum Stichtag 31.12.2023)", "")</f>
        <v/>
      </c>
      <c r="C123" s="53"/>
      <c r="D123" s="100"/>
      <c r="E123" s="25" t="s">
        <v>804</v>
      </c>
    </row>
    <row r="124" spans="1:5" ht="49.95" customHeight="1" x14ac:dyDescent="0.3">
      <c r="A124" s="51"/>
      <c r="B124" s="52" t="str">
        <f>IF(OR(Fragen_Hochschulleitungen!D43=11,Fragen_Hochschulleitungen!D43=12), "11. Projekt. Bitte ordnen Sie das Projekt dem Jahr zu.", "")</f>
        <v/>
      </c>
      <c r="C124" s="53"/>
      <c r="D124" s="99"/>
      <c r="E124" s="25" t="s">
        <v>805</v>
      </c>
    </row>
    <row r="125" spans="1:5" ht="49.95" customHeight="1" x14ac:dyDescent="0.3">
      <c r="A125" s="51" t="s">
        <v>619</v>
      </c>
      <c r="B125" s="53" t="str">
        <f>IF(OR(Fragen_Hochschulleitungen!D43=11,Fragen_Hochschulleitungen!D43=12), "Kontaktdaten der Projektleitung", "")</f>
        <v/>
      </c>
      <c r="C125" s="53"/>
      <c r="D125" s="53"/>
      <c r="E125" s="25" t="s">
        <v>806</v>
      </c>
    </row>
    <row r="126" spans="1:5" ht="49.95" customHeight="1" x14ac:dyDescent="0.3">
      <c r="A126" s="51" t="s">
        <v>637</v>
      </c>
      <c r="B126" s="53" t="str">
        <f>IF(OR(Fragen_Hochschulleitungen!D43=11,Fragen_Hochschulleitungen!D43=12), "Nachname der Projektleitung", "")</f>
        <v/>
      </c>
      <c r="C126" s="53"/>
      <c r="D126" s="102"/>
      <c r="E126" s="25" t="s">
        <v>807</v>
      </c>
    </row>
    <row r="127" spans="1:5" ht="49.95" customHeight="1" x14ac:dyDescent="0.3">
      <c r="A127" s="51" t="s">
        <v>638</v>
      </c>
      <c r="B127" s="53" t="str">
        <f>IF(OR(Fragen_Hochschulleitungen!D43=11,Fragen_Hochschulleitungen!D43=12), "Vorname der Projektleitung", "")</f>
        <v/>
      </c>
      <c r="C127" s="53"/>
      <c r="D127" s="102"/>
      <c r="E127" s="25" t="s">
        <v>807</v>
      </c>
    </row>
    <row r="128" spans="1:5" ht="49.95" customHeight="1" x14ac:dyDescent="0.3">
      <c r="A128" s="51" t="s">
        <v>639</v>
      </c>
      <c r="B128" s="53" t="str">
        <f>IF(OR(Fragen_Hochschulleitungen!D43=11,Fragen_Hochschulleitungen!D43=12), "ggf. Titel der Projektleitung", "")</f>
        <v/>
      </c>
      <c r="C128" s="53"/>
      <c r="D128" s="102"/>
      <c r="E128" s="25" t="s">
        <v>807</v>
      </c>
    </row>
    <row r="129" spans="1:5" ht="49.95" customHeight="1" x14ac:dyDescent="0.3">
      <c r="A129" s="51" t="s">
        <v>640</v>
      </c>
      <c r="B129" s="53" t="str">
        <f>IF(OR(Fragen_Hochschulleitungen!D43=11,Fragen_Hochschulleitungen!D43=12), "E-Mail-Adresse der Projektleitung", "")</f>
        <v/>
      </c>
      <c r="C129" s="53"/>
      <c r="D129" s="102"/>
      <c r="E129" s="25" t="s">
        <v>807</v>
      </c>
    </row>
    <row r="130" spans="1:5" ht="49.95" customHeight="1" x14ac:dyDescent="0.3">
      <c r="A130" s="51" t="s">
        <v>620</v>
      </c>
      <c r="B130" s="53" t="str">
        <f>IF(OR(Fragen_Hochschulleitungen!D43=11,Fragen_Hochschulleitungen!D43=12), "Titel des geförderten Projekts", "")</f>
        <v/>
      </c>
      <c r="C130" s="53"/>
      <c r="D130" s="102"/>
      <c r="E130" s="25" t="s">
        <v>807</v>
      </c>
    </row>
    <row r="131" spans="1:5" ht="70.8" customHeight="1" x14ac:dyDescent="0.3">
      <c r="A131" s="51" t="s">
        <v>621</v>
      </c>
      <c r="B131" s="53" t="str">
        <f>IF(OR(Fragen_Hochschulleitungen!D43=11,Fragen_Hochschulleitungen!D43=12), "(geplanter) Projektbeginn", "")</f>
        <v/>
      </c>
      <c r="C131" s="53"/>
      <c r="D131" s="103"/>
      <c r="E131" s="25" t="s">
        <v>808</v>
      </c>
    </row>
    <row r="132" spans="1:5" ht="63.6" customHeight="1" x14ac:dyDescent="0.3">
      <c r="A132" s="51" t="s">
        <v>641</v>
      </c>
      <c r="B132" s="53" t="str">
        <f>IF(OR(Fragen_Hochschulleitungen!D43=11,Fragen_Hochschulleitungen!D43=12), "(geplantes) Projektende", "")</f>
        <v/>
      </c>
      <c r="C132" s="53"/>
      <c r="D132" s="103"/>
      <c r="E132" s="25" t="s">
        <v>809</v>
      </c>
    </row>
    <row r="133" spans="1:5" ht="49.95" customHeight="1" x14ac:dyDescent="0.3">
      <c r="A133" s="51" t="s">
        <v>622</v>
      </c>
      <c r="B133" s="53" t="str">
        <f>IF(OR(Fragen_Hochschulleitungen!D43=11,Fragen_Hochschulleitungen!D43=12), "(geplante) Laufzeit (in Monaten)", "")</f>
        <v/>
      </c>
      <c r="C133" s="53"/>
      <c r="D133" s="104"/>
      <c r="E133" s="25" t="s">
        <v>810</v>
      </c>
    </row>
    <row r="134" spans="1:5" ht="49.95" customHeight="1" x14ac:dyDescent="0.3">
      <c r="A134" s="51" t="s">
        <v>623</v>
      </c>
      <c r="B134" s="53" t="str">
        <f>IF(OR(Fragen_Hochschulleitungen!D43=11,Fragen_Hochschulleitungen!D43=12), "Zugewiesene (vorgesehene) Mittel", "")</f>
        <v/>
      </c>
      <c r="C134" s="53"/>
      <c r="D134" s="100"/>
      <c r="E134" s="25" t="s">
        <v>810</v>
      </c>
    </row>
    <row r="135" spans="1:5" ht="49.95" customHeight="1" x14ac:dyDescent="0.3">
      <c r="A135" s="51" t="s">
        <v>624</v>
      </c>
      <c r="B135" s="53" t="str">
        <f>IF(OR(Fragen_Hochschulleitungen!D43=11,Fragen_Hochschulleitungen!D43=12), "Verausgabte Mittel im ausgewählten Projekt (bis zum Stichtag 31.12.2023)", "")</f>
        <v/>
      </c>
      <c r="C135" s="53"/>
      <c r="D135" s="100"/>
      <c r="E135" s="25" t="s">
        <v>810</v>
      </c>
    </row>
    <row r="136" spans="1:5" ht="49.95" customHeight="1" x14ac:dyDescent="0.3">
      <c r="A136" s="51"/>
      <c r="B136" s="52" t="str">
        <f>IF(Fragen_Hochschulleitungen!D43=12, "12. Projekt. Bitte ordnen Sie das Projekt dem Jahr zu.", "")</f>
        <v/>
      </c>
      <c r="C136" s="53"/>
      <c r="D136" s="99"/>
      <c r="E136" s="25" t="s">
        <v>811</v>
      </c>
    </row>
    <row r="137" spans="1:5" ht="49.95" customHeight="1" x14ac:dyDescent="0.3">
      <c r="A137" s="51" t="s">
        <v>624</v>
      </c>
      <c r="B137" s="53" t="str">
        <f>IF(Fragen_Hochschulleitungen!D43=12, "Kontaktdaten der Projektleitung", "")</f>
        <v/>
      </c>
      <c r="C137" s="53"/>
      <c r="D137" s="53"/>
      <c r="E137" s="25" t="s">
        <v>812</v>
      </c>
    </row>
    <row r="138" spans="1:5" ht="49.95" customHeight="1" x14ac:dyDescent="0.3">
      <c r="A138" s="51" t="s">
        <v>642</v>
      </c>
      <c r="B138" s="53" t="str">
        <f>IF(Fragen_Hochschulleitungen!D43=12, "Nachname der Projektleitung", "")</f>
        <v/>
      </c>
      <c r="C138" s="53"/>
      <c r="D138" s="102"/>
      <c r="E138" s="25" t="s">
        <v>813</v>
      </c>
    </row>
    <row r="139" spans="1:5" ht="49.95" customHeight="1" x14ac:dyDescent="0.3">
      <c r="A139" s="51" t="s">
        <v>643</v>
      </c>
      <c r="B139" s="53" t="str">
        <f>IF(Fragen_Hochschulleitungen!D43=12, "Vorname der Projektleitung", "")</f>
        <v/>
      </c>
      <c r="C139" s="53"/>
      <c r="D139" s="102"/>
      <c r="E139" s="25" t="s">
        <v>813</v>
      </c>
    </row>
    <row r="140" spans="1:5" ht="49.95" customHeight="1" x14ac:dyDescent="0.3">
      <c r="A140" s="51" t="s">
        <v>644</v>
      </c>
      <c r="B140" s="53" t="str">
        <f>IF(Fragen_Hochschulleitungen!D43=12, "ggf. Titel der Projektleitung", "")</f>
        <v/>
      </c>
      <c r="C140" s="53"/>
      <c r="D140" s="102"/>
      <c r="E140" s="25" t="s">
        <v>813</v>
      </c>
    </row>
    <row r="141" spans="1:5" ht="49.95" customHeight="1" x14ac:dyDescent="0.3">
      <c r="A141" s="51" t="s">
        <v>645</v>
      </c>
      <c r="B141" s="53" t="str">
        <f>IF(Fragen_Hochschulleitungen!D43=12, "E-Mail-Adresse der Projektleitung", "")</f>
        <v/>
      </c>
      <c r="C141" s="53"/>
      <c r="D141" s="102"/>
      <c r="E141" s="25" t="s">
        <v>813</v>
      </c>
    </row>
    <row r="142" spans="1:5" ht="49.95" customHeight="1" x14ac:dyDescent="0.3">
      <c r="A142" s="51" t="s">
        <v>625</v>
      </c>
      <c r="B142" s="53" t="str">
        <f>IF(Fragen_Hochschulleitungen!D43=12, "Titel des geförderten Projekts", "")</f>
        <v/>
      </c>
      <c r="C142" s="53"/>
      <c r="D142" s="102"/>
      <c r="E142" s="25" t="s">
        <v>813</v>
      </c>
    </row>
    <row r="143" spans="1:5" ht="73.8" customHeight="1" x14ac:dyDescent="0.3">
      <c r="A143" s="51" t="s">
        <v>626</v>
      </c>
      <c r="B143" s="53" t="str">
        <f>IF(Fragen_Hochschulleitungen!D43=12, "(geplanter) Projektbeginn", "")</f>
        <v/>
      </c>
      <c r="C143" s="53"/>
      <c r="D143" s="103"/>
      <c r="E143" s="25" t="s">
        <v>814</v>
      </c>
    </row>
    <row r="144" spans="1:5" ht="76.2" customHeight="1" x14ac:dyDescent="0.3">
      <c r="A144" s="51" t="s">
        <v>627</v>
      </c>
      <c r="B144" s="53" t="str">
        <f>IF(Fragen_Hochschulleitungen!D43=12, "(geplantes) Projektende", "")</f>
        <v/>
      </c>
      <c r="C144" s="53"/>
      <c r="D144" s="103"/>
      <c r="E144" s="25" t="s">
        <v>815</v>
      </c>
    </row>
    <row r="145" spans="1:5" ht="49.95" customHeight="1" x14ac:dyDescent="0.3">
      <c r="A145" s="51" t="s">
        <v>628</v>
      </c>
      <c r="B145" s="53" t="str">
        <f>IF(Fragen_Hochschulleitungen!D43=12, "(geplante) Laufzeit (in Monaten)", "")</f>
        <v/>
      </c>
      <c r="C145" s="53"/>
      <c r="D145" s="104"/>
      <c r="E145" s="25" t="s">
        <v>816</v>
      </c>
    </row>
    <row r="146" spans="1:5" ht="49.95" customHeight="1" x14ac:dyDescent="0.3">
      <c r="A146" s="51" t="s">
        <v>629</v>
      </c>
      <c r="B146" s="53" t="str">
        <f>IF(Fragen_Hochschulleitungen!D43=12, "Zugewiesene (vorgesehene) Mittel", "")</f>
        <v/>
      </c>
      <c r="C146" s="53"/>
      <c r="D146" s="100"/>
      <c r="E146" s="25" t="s">
        <v>816</v>
      </c>
    </row>
    <row r="147" spans="1:5" ht="49.95" customHeight="1" x14ac:dyDescent="0.3">
      <c r="A147" s="51" t="s">
        <v>631</v>
      </c>
      <c r="B147" s="53" t="str">
        <f>IF(Fragen_Hochschulleitungen!D43=12, "Verausgabte Mittel im ausgewählten Projekt (bis zum Stichtag 31.12.2023)", "")</f>
        <v/>
      </c>
      <c r="C147" s="53"/>
      <c r="D147" s="101"/>
      <c r="E147" s="25" t="s">
        <v>816</v>
      </c>
    </row>
    <row r="148" spans="1:5" ht="49.95" customHeight="1" x14ac:dyDescent="0.3">
      <c r="A148" s="53"/>
      <c r="B148" s="53"/>
      <c r="C148" s="53"/>
      <c r="D148" s="53"/>
      <c r="E148" s="53"/>
    </row>
  </sheetData>
  <sheetProtection algorithmName="SHA-512" hashValue="nUkXqN2+Q9QrLGQG5PU8FaIcLcz2FUF0BUWmjwHM3gp7B96OWIkk+uZetAA+ZK+q2919XfWeDE496e0m3aCwCQ==" saltValue="HfjH502NPUt2xPHdE75Rwg==" spinCount="100000" sheet="1" objects="1" scenarios="1"/>
  <mergeCells count="1">
    <mergeCell ref="D1:E1"/>
  </mergeCells>
  <pageMargins left="0.7" right="0.7" top="0.78740157499999996" bottom="0.78740157499999996" header="0.3" footer="0.3"/>
  <extLst>
    <ext xmlns:x14="http://schemas.microsoft.com/office/spreadsheetml/2009/9/main" uri="{CCE6A557-97BC-4b89-ADB6-D9C93CAAB3DF}">
      <x14:dataValidations xmlns:xm="http://schemas.microsoft.com/office/excel/2006/main" count="12">
        <x14:dataValidation type="list" allowBlank="1" showInputMessage="1" showErrorMessage="1" xr:uid="{3D9D9825-349F-4122-8626-4B8F05CB6671}">
          <x14:formula1>
            <xm:f>(IF(OR(D3=8,D3=9,D3=10,D3=11,D3=12),Listen!$M$2:$M$5))</xm:f>
          </x14:formula1>
          <xm:sqref>D88</xm:sqref>
        </x14:dataValidation>
        <x14:dataValidation type="list" allowBlank="1" showInputMessage="1" showErrorMessage="1" xr:uid="{0D13DCD7-645C-48A0-9E64-A2BA86D403BC}">
          <x14:formula1>
            <xm:f>(IF(OR(D3=7,D3=8,D3=9,D3=10,D3=11,D3=12),Listen!$M$2:$M$5))</xm:f>
          </x14:formula1>
          <xm:sqref>D76</xm:sqref>
        </x14:dataValidation>
        <x14:dataValidation type="list" allowBlank="1" showInputMessage="1" showErrorMessage="1" xr:uid="{72D03C3E-409C-46EE-94AE-3D699F608283}">
          <x14:formula1>
            <xm:f>(IF(OR(D3=6,D3=7,D3=8,D3=9,D3=10,D3=11,D3=12),Listen!$M$2:$M$5))</xm:f>
          </x14:formula1>
          <xm:sqref>D64</xm:sqref>
        </x14:dataValidation>
        <x14:dataValidation type="list" allowBlank="1" showInputMessage="1" showErrorMessage="1" xr:uid="{F7553601-15E8-4180-AE3B-B64446F419C8}">
          <x14:formula1>
            <xm:f>(IF(OR(D3=5,D3=6,D3=7,D3=8,D3=9,D3=10,D3=11,D3=12),Listen!$M$2:$M$5))</xm:f>
          </x14:formula1>
          <xm:sqref>D52</xm:sqref>
        </x14:dataValidation>
        <x14:dataValidation type="list" allowBlank="1" showInputMessage="1" showErrorMessage="1" xr:uid="{7FE80CC8-DF5E-4228-AD2B-EC3596364F04}">
          <x14:formula1>
            <xm:f>(IF(OR(D3=2, D3=3,D3=4,D3=5,D3=6,D3=7,D3=8,D3=9,D3=10,D3=11,D3=12),Listen!$M$2:$M$5))</xm:f>
          </x14:formula1>
          <xm:sqref>D16</xm:sqref>
        </x14:dataValidation>
        <x14:dataValidation type="list" allowBlank="1" showInputMessage="1" showErrorMessage="1" xr:uid="{0B5965F1-9829-4061-97B0-5D2DA328CAC9}">
          <x14:formula1>
            <xm:f>(IF(OR(D3=3,D3=4,D3=5,D3=6,D3=7,D3=8,D3=9,D3=10,D3=11,D3=12),Listen!$M$2:$M$5))</xm:f>
          </x14:formula1>
          <xm:sqref>D28</xm:sqref>
        </x14:dataValidation>
        <x14:dataValidation type="list" allowBlank="1" showInputMessage="1" showErrorMessage="1" xr:uid="{8ECFBD51-BEAA-4521-A1A5-55D9A839370B}">
          <x14:formula1>
            <xm:f>(IF(OR(D3=4,D3=5,D3=6,D3=7,D3=8,D3=9,D3=10,D3=11,D3=12),Listen!$M$2:$M$5))</xm:f>
          </x14:formula1>
          <xm:sqref>D40</xm:sqref>
        </x14:dataValidation>
        <x14:dataValidation type="list" allowBlank="1" showInputMessage="1" showErrorMessage="1" xr:uid="{A90EFFCF-F80D-4F38-BF17-A8C858A79DD8}">
          <x14:formula1>
            <xm:f>(IF(OR(D3=1,D3=2, D3=3,D3=4,D3=5,D3=6,D3=7,D3=8,D3=9,D3=10,D3=11,D3=12),Listen!$M$2:$M$5))</xm:f>
          </x14:formula1>
          <xm:sqref>D4</xm:sqref>
        </x14:dataValidation>
        <x14:dataValidation type="list" allowBlank="1" showInputMessage="1" showErrorMessage="1" xr:uid="{03EFF792-22EB-409D-B445-EBFDCC487BFA}">
          <x14:formula1>
            <xm:f>(IF(OR(D3=9,D3=10,D3=11,D3=12),Listen!$M$2:$M$5))</xm:f>
          </x14:formula1>
          <xm:sqref>D100</xm:sqref>
        </x14:dataValidation>
        <x14:dataValidation type="list" allowBlank="1" showInputMessage="1" showErrorMessage="1" xr:uid="{B81E7FD9-E14E-47E7-A5BA-D1B6CF417E33}">
          <x14:formula1>
            <xm:f>(IF(OR(D3=10,D3=11,D3=12),Listen!$M$2:$M$5))</xm:f>
          </x14:formula1>
          <xm:sqref>D112</xm:sqref>
        </x14:dataValidation>
        <x14:dataValidation type="list" allowBlank="1" showInputMessage="1" showErrorMessage="1" xr:uid="{95235739-D1A2-4E3E-9FD4-3CA99D0CDE53}">
          <x14:formula1>
            <xm:f>(IF(OR(D3=11,D3=12),Listen!$M$2:$M$5))</xm:f>
          </x14:formula1>
          <xm:sqref>D124</xm:sqref>
        </x14:dataValidation>
        <x14:dataValidation type="list" allowBlank="1" showInputMessage="1" showErrorMessage="1" xr:uid="{70F43053-469E-4BE4-8956-6BCFEDD2E4FC}">
          <x14:formula1>
            <xm:f>(IF(D3=12,Listen!$M$2:$M$5))</xm:f>
          </x14:formula1>
          <xm:sqref>D136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0A7D8-4C61-4D1D-BCC3-2E9CA06535EF}">
  <dimension ref="A1:E100"/>
  <sheetViews>
    <sheetView topLeftCell="A95" workbookViewId="0">
      <selection activeCell="D101" sqref="D101"/>
    </sheetView>
  </sheetViews>
  <sheetFormatPr baseColWidth="10" defaultColWidth="11.5546875" defaultRowHeight="14.4" x14ac:dyDescent="0.3"/>
  <cols>
    <col min="1" max="1" width="11.5546875" style="50"/>
    <col min="2" max="2" width="50.6640625" style="50" customWidth="1"/>
    <col min="3" max="3" width="3.33203125" style="50" customWidth="1"/>
    <col min="4" max="4" width="70.6640625" style="50" customWidth="1"/>
    <col min="5" max="5" width="80.6640625" style="50" customWidth="1"/>
    <col min="6" max="16384" width="11.5546875" style="50"/>
  </cols>
  <sheetData>
    <row r="1" spans="1:5" ht="70.2" customHeight="1" x14ac:dyDescent="0.3">
      <c r="A1" s="49"/>
      <c r="B1" s="49" t="s">
        <v>494</v>
      </c>
      <c r="C1" s="49"/>
      <c r="D1" s="111" t="s">
        <v>503</v>
      </c>
      <c r="E1" s="116"/>
    </row>
    <row r="2" spans="1:5" ht="40.200000000000003" customHeight="1" x14ac:dyDescent="0.3">
      <c r="A2" s="49"/>
      <c r="B2" s="49" t="s">
        <v>184</v>
      </c>
      <c r="C2" s="49"/>
      <c r="D2" s="49" t="s">
        <v>177</v>
      </c>
      <c r="E2" s="49" t="s">
        <v>491</v>
      </c>
    </row>
    <row r="3" spans="1:5" ht="40.200000000000003" customHeight="1" x14ac:dyDescent="0.3">
      <c r="A3" s="105"/>
      <c r="B3" s="56" t="s">
        <v>495</v>
      </c>
      <c r="C3" s="55"/>
      <c r="D3" s="56">
        <f>Fragen_Hochschulleitungen!D69</f>
        <v>0</v>
      </c>
      <c r="E3" s="25" t="s">
        <v>492</v>
      </c>
    </row>
    <row r="4" spans="1:5" ht="49.95" customHeight="1" x14ac:dyDescent="0.3">
      <c r="A4" s="51"/>
      <c r="B4" s="52" t="str">
        <f>IF(OR(Fragen_Hochschulleitungen!D69=1, Fragen_Hochschulleitungen!D69=2,Fragen_Hochschulleitungen!D69=3,Fragen_Hochschulleitungen!D69=4,Fragen_Hochschulleitungen!D69=5,Fragen_Hochschulleitungen!D69=6,Fragen_Hochschulleitungen!D69=7,Fragen_Hochschulleitungen!D69=8), "1. Projekt. Bitte ordnen Sie das Projekt dem Jahr zu.", "")</f>
        <v/>
      </c>
      <c r="C4" s="21"/>
      <c r="D4" s="48"/>
      <c r="E4" s="25" t="s">
        <v>274</v>
      </c>
    </row>
    <row r="5" spans="1:5" ht="49.95" customHeight="1" x14ac:dyDescent="0.3">
      <c r="A5" s="51" t="s">
        <v>57</v>
      </c>
      <c r="B5" s="53" t="str">
        <f>IF(OR(Fragen_Hochschulleitungen!D69=1, Fragen_Hochschulleitungen!D69=2,Fragen_Hochschulleitungen!D69=3,Fragen_Hochschulleitungen!D69=4,Fragen_Hochschulleitungen!D69=5,Fragen_Hochschulleitungen!D69=6,Fragen_Hochschulleitungen!D69=7,Fragen_Hochschulleitungen!D69=8), "Kontaktdaten der Projektleitung", "")</f>
        <v/>
      </c>
      <c r="C5" s="21"/>
      <c r="D5" s="21"/>
      <c r="E5" s="25" t="s">
        <v>278</v>
      </c>
    </row>
    <row r="6" spans="1:5" ht="40.200000000000003" customHeight="1" x14ac:dyDescent="0.3">
      <c r="A6" s="51" t="s">
        <v>270</v>
      </c>
      <c r="B6" s="54" t="str">
        <f>IF(OR(Fragen_Hochschulleitungen!D69=1, Fragen_Hochschulleitungen!D69=2,Fragen_Hochschulleitungen!D69=3,Fragen_Hochschulleitungen!D69=4,Fragen_Hochschulleitungen!D69=5,Fragen_Hochschulleitungen!D69=6,Fragen_Hochschulleitungen!D69=7,Fragen_Hochschulleitungen!D69=8), "Nachname der Projektleitung", "")</f>
        <v/>
      </c>
      <c r="C6" s="21"/>
      <c r="D6" s="37"/>
      <c r="E6" s="25"/>
    </row>
    <row r="7" spans="1:5" ht="40.200000000000003" customHeight="1" x14ac:dyDescent="0.3">
      <c r="A7" s="51" t="s">
        <v>271</v>
      </c>
      <c r="B7" s="54" t="str">
        <f>IF(OR(Fragen_Hochschulleitungen!D69=1, Fragen_Hochschulleitungen!D69=2,Fragen_Hochschulleitungen!D69=3,Fragen_Hochschulleitungen!D69=4,Fragen_Hochschulleitungen!D69=5,Fragen_Hochschulleitungen!D69=6,Fragen_Hochschulleitungen!D69=7,Fragen_Hochschulleitungen!D69=8), "Vorname der Projektleitung", "")</f>
        <v/>
      </c>
      <c r="C7" s="21"/>
      <c r="D7" s="37"/>
      <c r="E7" s="25"/>
    </row>
    <row r="8" spans="1:5" ht="40.200000000000003" customHeight="1" x14ac:dyDescent="0.3">
      <c r="A8" s="51" t="s">
        <v>272</v>
      </c>
      <c r="B8" s="54" t="str">
        <f>IF(OR(Fragen_Hochschulleitungen!D69=1, Fragen_Hochschulleitungen!D69=2,Fragen_Hochschulleitungen!D69=3,Fragen_Hochschulleitungen!D69=4,Fragen_Hochschulleitungen!D69=5,Fragen_Hochschulleitungen!D69=6,Fragen_Hochschulleitungen!D69=7,Fragen_Hochschulleitungen!D69=8), "ggf. Titel der Projektleitung", "")</f>
        <v/>
      </c>
      <c r="C8" s="21"/>
      <c r="D8" s="37"/>
      <c r="E8" s="25"/>
    </row>
    <row r="9" spans="1:5" ht="40.200000000000003" customHeight="1" x14ac:dyDescent="0.3">
      <c r="A9" s="51" t="s">
        <v>273</v>
      </c>
      <c r="B9" s="54" t="str">
        <f>IF(OR(Fragen_Hochschulleitungen!D69=1, Fragen_Hochschulleitungen!D69=2,Fragen_Hochschulleitungen!D69=3,Fragen_Hochschulleitungen!D69=4,Fragen_Hochschulleitungen!D69=5,Fragen_Hochschulleitungen!D69=6,Fragen_Hochschulleitungen!D69=7,Fragen_Hochschulleitungen!D69=8), "E-Mail-Adresse der Projektleitung", "")</f>
        <v/>
      </c>
      <c r="C9" s="21"/>
      <c r="D9" s="37"/>
      <c r="E9" s="25"/>
    </row>
    <row r="10" spans="1:5" ht="40.200000000000003" customHeight="1" x14ac:dyDescent="0.3">
      <c r="A10" s="51" t="s">
        <v>58</v>
      </c>
      <c r="B10" s="53" t="str">
        <f>IF(OR(Fragen_Hochschulleitungen!D69=1, Fragen_Hochschulleitungen!D69=2,Fragen_Hochschulleitungen!D69=3,Fragen_Hochschulleitungen!D69=4,Fragen_Hochschulleitungen!D69=5,Fragen_Hochschulleitungen!D69=6,Fragen_Hochschulleitungen!D69=7,Fragen_Hochschulleitungen!D69=8), "Titel des geförderten Projekts", "")</f>
        <v/>
      </c>
      <c r="C10" s="21"/>
      <c r="D10" s="37"/>
      <c r="E10" s="25" t="s">
        <v>275</v>
      </c>
    </row>
    <row r="11" spans="1:5" ht="70.2" customHeight="1" x14ac:dyDescent="0.3">
      <c r="A11" s="51" t="s">
        <v>59</v>
      </c>
      <c r="B11" s="53" t="str">
        <f>IF(OR(Fragen_Hochschulleitungen!D69=1, Fragen_Hochschulleitungen!D69=2,Fragen_Hochschulleitungen!D69=3,Fragen_Hochschulleitungen!D69=4,Fragen_Hochschulleitungen!D69=5,Fragen_Hochschulleitungen!D69=6,Fragen_Hochschulleitungen!D69=7,Fragen_Hochschulleitungen!D69=8), "(geplanter) Projektbeginn", "")</f>
        <v/>
      </c>
      <c r="C11" s="21"/>
      <c r="D11" s="35"/>
      <c r="E11" s="25" t="s">
        <v>276</v>
      </c>
    </row>
    <row r="12" spans="1:5" ht="93" customHeight="1" x14ac:dyDescent="0.3">
      <c r="A12" s="51" t="s">
        <v>60</v>
      </c>
      <c r="B12" s="53" t="str">
        <f>IF(OR(Fragen_Hochschulleitungen!D69=1, Fragen_Hochschulleitungen!D69=2,Fragen_Hochschulleitungen!D69=3,Fragen_Hochschulleitungen!D69=4,Fragen_Hochschulleitungen!D69=5,Fragen_Hochschulleitungen!D69=6,Fragen_Hochschulleitungen!D69=7,Fragen_Hochschulleitungen!D69=8), "(geplantes) Projektende", "")</f>
        <v/>
      </c>
      <c r="C12" s="21"/>
      <c r="D12" s="35"/>
      <c r="E12" s="25" t="s">
        <v>277</v>
      </c>
    </row>
    <row r="13" spans="1:5" ht="40.200000000000003" customHeight="1" x14ac:dyDescent="0.3">
      <c r="A13" s="51" t="s">
        <v>61</v>
      </c>
      <c r="B13" s="53" t="str">
        <f>IF(OR(Fragen_Hochschulleitungen!D69=1, Fragen_Hochschulleitungen!D69=2,Fragen_Hochschulleitungen!D69=3,Fragen_Hochschulleitungen!D69=4,Fragen_Hochschulleitungen!D69=5,Fragen_Hochschulleitungen!D69=6,Fragen_Hochschulleitungen!D69=7,Fragen_Hochschulleitungen!D69=8), "(geplante) Laufzeit (in Monaten)", "")</f>
        <v/>
      </c>
      <c r="C13" s="21"/>
      <c r="D13" s="57"/>
      <c r="E13" s="25" t="s">
        <v>275</v>
      </c>
    </row>
    <row r="14" spans="1:5" ht="40.200000000000003" customHeight="1" x14ac:dyDescent="0.3">
      <c r="A14" s="51" t="s">
        <v>62</v>
      </c>
      <c r="B14" s="53" t="str">
        <f>IF(OR(Fragen_Hochschulleitungen!D69=1, Fragen_Hochschulleitungen!D69=2,Fragen_Hochschulleitungen!D69=3,Fragen_Hochschulleitungen!D69=4,Fragen_Hochschulleitungen!D69=5,Fragen_Hochschulleitungen!D69=6,Fragen_Hochschulleitungen!D69=7,Fragen_Hochschulleitungen!D69=8), "Zugewiesene (vorgesehene) Mittel für das ausgewählte Vorhaben", "")</f>
        <v/>
      </c>
      <c r="C14" s="21"/>
      <c r="D14" s="20"/>
      <c r="E14" s="25" t="s">
        <v>275</v>
      </c>
    </row>
    <row r="15" spans="1:5" ht="40.200000000000003" customHeight="1" x14ac:dyDescent="0.3">
      <c r="A15" s="51" t="s">
        <v>63</v>
      </c>
      <c r="B15" s="53" t="str">
        <f>IF(OR(Fragen_Hochschulleitungen!D69=1, Fragen_Hochschulleitungen!D69=2,Fragen_Hochschulleitungen!D69=3,Fragen_Hochschulleitungen!D69=4,Fragen_Hochschulleitungen!D69=5,Fragen_Hochschulleitungen!D69=6,Fragen_Hochschulleitungen!D69=7,Fragen_Hochschulleitungen!D69=8), "Verausgabte Mittel im ausgewählten Projekt (bis zum Stichtag 31.12.2022)", "")</f>
        <v/>
      </c>
      <c r="C15" s="21"/>
      <c r="D15" s="20"/>
      <c r="E15" s="25" t="s">
        <v>275</v>
      </c>
    </row>
    <row r="16" spans="1:5" ht="49.95" customHeight="1" x14ac:dyDescent="0.3">
      <c r="A16" s="51"/>
      <c r="B16" s="117" t="str">
        <f>IF(OR(Fragen_Hochschulleitungen!D69=2,Fragen_Hochschulleitungen!D69=3,Fragen_Hochschulleitungen!D69=4,Fragen_Hochschulleitungen!D69=5,Fragen_Hochschulleitungen!D69=6,Fragen_Hochschulleitungen!D69=7,Fragen_Hochschulleitungen!D69=8), "2. Projekt. Bitte ordnen Sie das Projekt dem Jahr zu.", "")</f>
        <v/>
      </c>
      <c r="C16" s="21"/>
      <c r="D16" s="18"/>
      <c r="E16" s="25" t="s">
        <v>279</v>
      </c>
    </row>
    <row r="17" spans="1:5" ht="49.95" customHeight="1" x14ac:dyDescent="0.3">
      <c r="A17" s="51" t="s">
        <v>64</v>
      </c>
      <c r="B17" s="53" t="str">
        <f>IF(OR(Fragen_Hochschulleitungen!D69=2,Fragen_Hochschulleitungen!D69=3,Fragen_Hochschulleitungen!D69=4,Fragen_Hochschulleitungen!D69=5,Fragen_Hochschulleitungen!D69=6,Fragen_Hochschulleitungen!D69=7,Fragen_Hochschulleitungen!D69=8), "Kontaktdaten der Projektleitung", "")</f>
        <v/>
      </c>
      <c r="C17" s="21"/>
      <c r="D17" s="21"/>
      <c r="E17" s="25" t="s">
        <v>280</v>
      </c>
    </row>
    <row r="18" spans="1:5" ht="40.200000000000003" customHeight="1" x14ac:dyDescent="0.3">
      <c r="A18" s="51" t="s">
        <v>449</v>
      </c>
      <c r="B18" s="54" t="str">
        <f>IF(OR(Fragen_Hochschulleitungen!D69=2,Fragen_Hochschulleitungen!D69=3,Fragen_Hochschulleitungen!D69=4,Fragen_Hochschulleitungen!D69=5,Fragen_Hochschulleitungen!D69=6,Fragen_Hochschulleitungen!D69=7,Fragen_Hochschulleitungen!D69=8), "Nachname der Projektleitung", "")</f>
        <v/>
      </c>
      <c r="C18" s="21"/>
      <c r="D18" s="37"/>
      <c r="E18" s="25"/>
    </row>
    <row r="19" spans="1:5" ht="40.200000000000003" customHeight="1" x14ac:dyDescent="0.3">
      <c r="A19" s="51" t="s">
        <v>450</v>
      </c>
      <c r="B19" s="54" t="str">
        <f>IF(OR(Fragen_Hochschulleitungen!D69=2,Fragen_Hochschulleitungen!D69=3,Fragen_Hochschulleitungen!D69=4,Fragen_Hochschulleitungen!D69=5,Fragen_Hochschulleitungen!D69=6,Fragen_Hochschulleitungen!D69=7,Fragen_Hochschulleitungen!D69=8), "Vorname der Projektleitung", "")</f>
        <v/>
      </c>
      <c r="C19" s="21"/>
      <c r="D19" s="37"/>
      <c r="E19" s="25"/>
    </row>
    <row r="20" spans="1:5" ht="40.200000000000003" customHeight="1" x14ac:dyDescent="0.3">
      <c r="A20" s="51" t="s">
        <v>451</v>
      </c>
      <c r="B20" s="54" t="str">
        <f>IF(OR(Fragen_Hochschulleitungen!D69=2,Fragen_Hochschulleitungen!D69=3,Fragen_Hochschulleitungen!D69=4,Fragen_Hochschulleitungen!D69=5,Fragen_Hochschulleitungen!D69=6,Fragen_Hochschulleitungen!D69=7,Fragen_Hochschulleitungen!D69=8), "ggf. Titel der Projektleitung", "")</f>
        <v/>
      </c>
      <c r="C20" s="21"/>
      <c r="D20" s="37"/>
      <c r="E20" s="25"/>
    </row>
    <row r="21" spans="1:5" ht="40.200000000000003" customHeight="1" x14ac:dyDescent="0.3">
      <c r="A21" s="51" t="s">
        <v>452</v>
      </c>
      <c r="B21" s="54" t="str">
        <f>IF(OR(Fragen_Hochschulleitungen!D69=2,Fragen_Hochschulleitungen!D69=3,Fragen_Hochschulleitungen!D69=4,Fragen_Hochschulleitungen!D69=5,Fragen_Hochschulleitungen!D69=6,Fragen_Hochschulleitungen!D69=7,Fragen_Hochschulleitungen!D69=8), "E-Mail-Adresse der Projektleitung", "")</f>
        <v/>
      </c>
      <c r="C21" s="21"/>
      <c r="D21" s="37"/>
      <c r="E21" s="25"/>
    </row>
    <row r="22" spans="1:5" ht="40.200000000000003" customHeight="1" x14ac:dyDescent="0.3">
      <c r="A22" s="51" t="s">
        <v>65</v>
      </c>
      <c r="B22" s="53" t="str">
        <f>IF(OR(Fragen_Hochschulleitungen!D69=2,Fragen_Hochschulleitungen!D69=3,Fragen_Hochschulleitungen!D69=4,Fragen_Hochschulleitungen!D69=5,Fragen_Hochschulleitungen!D69=6,Fragen_Hochschulleitungen!D69=7,Fragen_Hochschulleitungen!D69=8), "Titel des geförderten Projekts", "")</f>
        <v/>
      </c>
      <c r="C22" s="21"/>
      <c r="D22" s="37"/>
      <c r="E22" s="25" t="s">
        <v>281</v>
      </c>
    </row>
    <row r="23" spans="1:5" ht="70.2" customHeight="1" x14ac:dyDescent="0.3">
      <c r="A23" s="51" t="s">
        <v>66</v>
      </c>
      <c r="B23" s="53" t="str">
        <f>IF(OR(Fragen_Hochschulleitungen!D69=2,Fragen_Hochschulleitungen!D69=3,Fragen_Hochschulleitungen!D69=4,Fragen_Hochschulleitungen!D69=5,Fragen_Hochschulleitungen!D69=6,Fragen_Hochschulleitungen!D69=7,Fragen_Hochschulleitungen!D69=8), "(geplanter) Projektbeginn", "")</f>
        <v/>
      </c>
      <c r="C23" s="21"/>
      <c r="D23" s="35"/>
      <c r="E23" s="25" t="s">
        <v>282</v>
      </c>
    </row>
    <row r="24" spans="1:5" ht="70.2" customHeight="1" x14ac:dyDescent="0.3">
      <c r="A24" s="51" t="s">
        <v>67</v>
      </c>
      <c r="B24" s="53" t="str">
        <f>IF(OR(Fragen_Hochschulleitungen!D69=2,Fragen_Hochschulleitungen!D69=3,Fragen_Hochschulleitungen!D69=4,Fragen_Hochschulleitungen!D69=5,Fragen_Hochschulleitungen!D69=6,Fragen_Hochschulleitungen!D69=7,Fragen_Hochschulleitungen!D69=8), "(geplantes) Projektende", "")</f>
        <v/>
      </c>
      <c r="C24" s="21"/>
      <c r="D24" s="35"/>
      <c r="E24" s="25" t="s">
        <v>283</v>
      </c>
    </row>
    <row r="25" spans="1:5" ht="40.200000000000003" customHeight="1" x14ac:dyDescent="0.3">
      <c r="A25" s="51" t="s">
        <v>174</v>
      </c>
      <c r="B25" s="53" t="str">
        <f>IF(OR(Fragen_Hochschulleitungen!D69=2,Fragen_Hochschulleitungen!D69=3,Fragen_Hochschulleitungen!D69=4,Fragen_Hochschulleitungen!D69=5,Fragen_Hochschulleitungen!D69=6,Fragen_Hochschulleitungen!D69=7,Fragen_Hochschulleitungen!D69=8), "(geplante) Laufzeit (in Monaten)", "")</f>
        <v/>
      </c>
      <c r="C25" s="21"/>
      <c r="D25" s="48"/>
      <c r="E25" s="25" t="s">
        <v>281</v>
      </c>
    </row>
    <row r="26" spans="1:5" ht="40.200000000000003" customHeight="1" x14ac:dyDescent="0.3">
      <c r="A26" s="51" t="s">
        <v>216</v>
      </c>
      <c r="B26" s="53" t="str">
        <f>IF(OR(Fragen_Hochschulleitungen!D69=2,Fragen_Hochschulleitungen!D69=3,Fragen_Hochschulleitungen!D69=4,Fragen_Hochschulleitungen!D69=5,Fragen_Hochschulleitungen!D69=6,Fragen_Hochschulleitungen!D69=7,Fragen_Hochschulleitungen!D69=8), "Zugewiesene (vorgesehene) Mittel für das ausgewählte Projekt", "")</f>
        <v/>
      </c>
      <c r="C26" s="21"/>
      <c r="D26" s="20"/>
      <c r="E26" s="25" t="s">
        <v>281</v>
      </c>
    </row>
    <row r="27" spans="1:5" ht="40.200000000000003" customHeight="1" x14ac:dyDescent="0.3">
      <c r="A27" s="51" t="s">
        <v>217</v>
      </c>
      <c r="B27" s="53" t="str">
        <f>IF(OR(Fragen_Hochschulleitungen!D69=2,Fragen_Hochschulleitungen!D69=3,Fragen_Hochschulleitungen!D69=4,Fragen_Hochschulleitungen!D69=5,Fragen_Hochschulleitungen!D69=6,Fragen_Hochschulleitungen!D69=7,Fragen_Hochschulleitungen!D69=8), "Verausgabte Mittel im ausgewählten Projekt (bis zum Stichtag 31.12.2022)", "")</f>
        <v/>
      </c>
      <c r="C27" s="21"/>
      <c r="D27" s="20"/>
      <c r="E27" s="25" t="s">
        <v>281</v>
      </c>
    </row>
    <row r="28" spans="1:5" ht="49.95" customHeight="1" x14ac:dyDescent="0.3">
      <c r="A28" s="51"/>
      <c r="B28" s="52" t="str">
        <f>IF(OR(Fragen_Hochschulleitungen!D69=3,Fragen_Hochschulleitungen!D69=4,Fragen_Hochschulleitungen!D69=5,Fragen_Hochschulleitungen!D69=6,Fragen_Hochschulleitungen!D69=7,Fragen_Hochschulleitungen!D69=8), "3. Projekt. Bitte ordnen Sie das Projekt dem Jahr zu.", "")</f>
        <v/>
      </c>
      <c r="C28" s="21"/>
      <c r="D28" s="48"/>
      <c r="E28" s="25" t="s">
        <v>284</v>
      </c>
    </row>
    <row r="29" spans="1:5" ht="49.95" customHeight="1" x14ac:dyDescent="0.3">
      <c r="A29" s="51" t="s">
        <v>218</v>
      </c>
      <c r="B29" s="53" t="str">
        <f>IF(OR(Fragen_Hochschulleitungen!D69=3,Fragen_Hochschulleitungen!D69=4,Fragen_Hochschulleitungen!D69=5,Fragen_Hochschulleitungen!D69=6,Fragen_Hochschulleitungen!D69=7,Fragen_Hochschulleitungen!D69=8), "Kontaktdaten der Projektleitung", "")</f>
        <v/>
      </c>
      <c r="C29" s="21"/>
      <c r="D29" s="22"/>
      <c r="E29" s="25" t="s">
        <v>285</v>
      </c>
    </row>
    <row r="30" spans="1:5" ht="40.200000000000003" customHeight="1" x14ac:dyDescent="0.3">
      <c r="A30" s="51" t="s">
        <v>453</v>
      </c>
      <c r="B30" s="54" t="str">
        <f>IF(OR(Fragen_Hochschulleitungen!D69=3,Fragen_Hochschulleitungen!D69=4,Fragen_Hochschulleitungen!D69=5,Fragen_Hochschulleitungen!D69=6,Fragen_Hochschulleitungen!D69=7,Fragen_Hochschulleitungen!D69=8), "Nachname der Projektleitung", "")</f>
        <v/>
      </c>
      <c r="C30" s="21"/>
      <c r="D30" s="37"/>
      <c r="E30" s="25"/>
    </row>
    <row r="31" spans="1:5" ht="40.200000000000003" customHeight="1" x14ac:dyDescent="0.3">
      <c r="A31" s="51" t="s">
        <v>454</v>
      </c>
      <c r="B31" s="54" t="str">
        <f>IF(OR(Fragen_Hochschulleitungen!D69=3,Fragen_Hochschulleitungen!D69=4,Fragen_Hochschulleitungen!D69=5,Fragen_Hochschulleitungen!D69=6,Fragen_Hochschulleitungen!D69=7,Fragen_Hochschulleitungen!D69=8), "Vorname der Projektleitung", "")</f>
        <v/>
      </c>
      <c r="C31" s="21"/>
      <c r="D31" s="37"/>
      <c r="E31" s="25"/>
    </row>
    <row r="32" spans="1:5" ht="40.200000000000003" customHeight="1" x14ac:dyDescent="0.3">
      <c r="A32" s="51" t="s">
        <v>455</v>
      </c>
      <c r="B32" s="54" t="str">
        <f>IF(OR(Fragen_Hochschulleitungen!D69=3,Fragen_Hochschulleitungen!D69=4,Fragen_Hochschulleitungen!D69=5,Fragen_Hochschulleitungen!D69=6,Fragen_Hochschulleitungen!D69=7,Fragen_Hochschulleitungen!D69=8), "ggf. Titel der Projektleitung", "")</f>
        <v/>
      </c>
      <c r="C32" s="21"/>
      <c r="D32" s="37"/>
      <c r="E32" s="25"/>
    </row>
    <row r="33" spans="1:5" ht="40.200000000000003" customHeight="1" x14ac:dyDescent="0.3">
      <c r="A33" s="51" t="s">
        <v>456</v>
      </c>
      <c r="B33" s="54" t="str">
        <f>IF(OR(Fragen_Hochschulleitungen!D69=3,Fragen_Hochschulleitungen!D69=4,Fragen_Hochschulleitungen!D69=5,Fragen_Hochschulleitungen!D69=6,Fragen_Hochschulleitungen!D69=7,Fragen_Hochschulleitungen!D69=8), "E-Mail-Adresse der Projektleitung", "")</f>
        <v/>
      </c>
      <c r="C33" s="21"/>
      <c r="D33" s="37"/>
      <c r="E33" s="25"/>
    </row>
    <row r="34" spans="1:5" ht="40.200000000000003" customHeight="1" x14ac:dyDescent="0.3">
      <c r="A34" s="51" t="s">
        <v>219</v>
      </c>
      <c r="B34" s="53" t="str">
        <f>IF(OR(Fragen_Hochschulleitungen!D69=3,Fragen_Hochschulleitungen!D69=4,Fragen_Hochschulleitungen!D69=5,Fragen_Hochschulleitungen!D69=6,Fragen_Hochschulleitungen!D69=7,Fragen_Hochschulleitungen!D69=8), "Titel des geförderten Projekts", "")</f>
        <v/>
      </c>
      <c r="C34" s="21"/>
      <c r="D34" s="37"/>
      <c r="E34" s="25" t="s">
        <v>286</v>
      </c>
    </row>
    <row r="35" spans="1:5" ht="70.2" customHeight="1" x14ac:dyDescent="0.3">
      <c r="A35" s="51" t="s">
        <v>220</v>
      </c>
      <c r="B35" s="53" t="str">
        <f>IF(OR(Fragen_Hochschulleitungen!D69=3,Fragen_Hochschulleitungen!D69=4,Fragen_Hochschulleitungen!D69=5,Fragen_Hochschulleitungen!D69=6,Fragen_Hochschulleitungen!D69=7,Fragen_Hochschulleitungen!D69=8), "(geplanter) Projektbeginn", "")</f>
        <v/>
      </c>
      <c r="C35" s="21"/>
      <c r="D35" s="35"/>
      <c r="E35" s="25" t="s">
        <v>287</v>
      </c>
    </row>
    <row r="36" spans="1:5" ht="70.2" customHeight="1" x14ac:dyDescent="0.3">
      <c r="A36" s="51" t="s">
        <v>221</v>
      </c>
      <c r="B36" s="53" t="str">
        <f>IF(OR(Fragen_Hochschulleitungen!D69=3,Fragen_Hochschulleitungen!D69=4,Fragen_Hochschulleitungen!D69=5,Fragen_Hochschulleitungen!D69=6,Fragen_Hochschulleitungen!D69=7,Fragen_Hochschulleitungen!D69=8), "(geplantes) Projektende", "")</f>
        <v/>
      </c>
      <c r="C36" s="21"/>
      <c r="D36" s="35"/>
      <c r="E36" s="25" t="s">
        <v>288</v>
      </c>
    </row>
    <row r="37" spans="1:5" ht="40.200000000000003" customHeight="1" x14ac:dyDescent="0.3">
      <c r="A37" s="51" t="s">
        <v>222</v>
      </c>
      <c r="B37" s="53" t="str">
        <f>IF(OR(Fragen_Hochschulleitungen!D69=3,Fragen_Hochschulleitungen!D69=4,Fragen_Hochschulleitungen!D69=5,Fragen_Hochschulleitungen!D69=6,Fragen_Hochschulleitungen!D69=7,Fragen_Hochschulleitungen!D69=8), "(geplante) Laufzeit (in Monaten)", "")</f>
        <v/>
      </c>
      <c r="C37" s="21"/>
      <c r="D37" s="58"/>
      <c r="E37" s="25" t="s">
        <v>286</v>
      </c>
    </row>
    <row r="38" spans="1:5" ht="40.200000000000003" customHeight="1" x14ac:dyDescent="0.3">
      <c r="A38" s="51" t="s">
        <v>294</v>
      </c>
      <c r="B38" s="53" t="str">
        <f>IF(OR(Fragen_Hochschulleitungen!D69=3,Fragen_Hochschulleitungen!D69=4,Fragen_Hochschulleitungen!D69=5,Fragen_Hochschulleitungen!D69=6,Fragen_Hochschulleitungen!D69=7,Fragen_Hochschulleitungen!D69=8), "Zugewiesene (vorgesehene) Mittel für das ausgewählte Projekt", "")</f>
        <v/>
      </c>
      <c r="C38" s="21"/>
      <c r="D38" s="20"/>
      <c r="E38" s="25" t="s">
        <v>286</v>
      </c>
    </row>
    <row r="39" spans="1:5" ht="40.200000000000003" customHeight="1" x14ac:dyDescent="0.3">
      <c r="A39" s="51" t="s">
        <v>295</v>
      </c>
      <c r="B39" s="53" t="str">
        <f>IF(OR(Fragen_Hochschulleitungen!D69=3,Fragen_Hochschulleitungen!D69=4,Fragen_Hochschulleitungen!D69=5,Fragen_Hochschulleitungen!D69=6,Fragen_Hochschulleitungen!D69=7,Fragen_Hochschulleitungen!D69=8), "Verausgabte Mittel im ausgewählten Projekt (bis zum Stichtag 31.12.2022)", "")</f>
        <v/>
      </c>
      <c r="C39" s="21"/>
      <c r="D39" s="20"/>
      <c r="E39" s="25" t="s">
        <v>286</v>
      </c>
    </row>
    <row r="40" spans="1:5" ht="49.95" customHeight="1" x14ac:dyDescent="0.3">
      <c r="A40" s="51"/>
      <c r="B40" s="52" t="str">
        <f>IF(OR(Fragen_Hochschulleitungen!D69=4,Fragen_Hochschulleitungen!D69=5,Fragen_Hochschulleitungen!D69=6,Fragen_Hochschulleitungen!D69=7,Fragen_Hochschulleitungen!D69=8), "4. Projekt. Bitte ordnen Sie das Projekt dem Jahr zu.", "")</f>
        <v/>
      </c>
      <c r="C40" s="21"/>
      <c r="D40" s="48"/>
      <c r="E40" s="25" t="s">
        <v>289</v>
      </c>
    </row>
    <row r="41" spans="1:5" ht="49.95" customHeight="1" x14ac:dyDescent="0.3">
      <c r="A41" s="51" t="s">
        <v>296</v>
      </c>
      <c r="B41" s="53" t="str">
        <f>IF(OR(Fragen_Hochschulleitungen!D69=4,Fragen_Hochschulleitungen!D69=5,Fragen_Hochschulleitungen!D69=6,Fragen_Hochschulleitungen!D69=7,Fragen_Hochschulleitungen!D69=8), "Kontaktdaten der Projektleitung", "")</f>
        <v/>
      </c>
      <c r="C41" s="21"/>
      <c r="D41" s="22"/>
      <c r="E41" s="25" t="s">
        <v>290</v>
      </c>
    </row>
    <row r="42" spans="1:5" ht="40.200000000000003" customHeight="1" x14ac:dyDescent="0.3">
      <c r="A42" s="51" t="s">
        <v>457</v>
      </c>
      <c r="B42" s="54" t="str">
        <f>IF(OR(Fragen_Hochschulleitungen!D69=4,Fragen_Hochschulleitungen!D69=5,Fragen_Hochschulleitungen!D69=6,Fragen_Hochschulleitungen!D69=7,Fragen_Hochschulleitungen!D69=8), "Nachname der Projektleitung", "")</f>
        <v/>
      </c>
      <c r="C42" s="21"/>
      <c r="D42" s="37"/>
      <c r="E42" s="25"/>
    </row>
    <row r="43" spans="1:5" ht="40.200000000000003" customHeight="1" x14ac:dyDescent="0.3">
      <c r="A43" s="51" t="s">
        <v>458</v>
      </c>
      <c r="B43" s="54" t="str">
        <f>IF(OR(Fragen_Hochschulleitungen!D69=4,Fragen_Hochschulleitungen!D69=5,Fragen_Hochschulleitungen!D69=6,Fragen_Hochschulleitungen!D69=7,Fragen_Hochschulleitungen!D69=8), "Vorname der Projektleitung", "")</f>
        <v/>
      </c>
      <c r="C43" s="21"/>
      <c r="D43" s="37"/>
      <c r="E43" s="25"/>
    </row>
    <row r="44" spans="1:5" ht="40.200000000000003" customHeight="1" x14ac:dyDescent="0.3">
      <c r="A44" s="51" t="s">
        <v>459</v>
      </c>
      <c r="B44" s="54" t="str">
        <f>IF(OR(Fragen_Hochschulleitungen!D69=4,Fragen_Hochschulleitungen!D69=5,Fragen_Hochschulleitungen!D69=6,Fragen_Hochschulleitungen!D69=7,Fragen_Hochschulleitungen!D69=8), "ggf. Titel der Projektleitung", "")</f>
        <v/>
      </c>
      <c r="C44" s="21"/>
      <c r="D44" s="37"/>
      <c r="E44" s="25"/>
    </row>
    <row r="45" spans="1:5" ht="40.200000000000003" customHeight="1" x14ac:dyDescent="0.3">
      <c r="A45" s="51" t="s">
        <v>460</v>
      </c>
      <c r="B45" s="54" t="str">
        <f>IF(OR(Fragen_Hochschulleitungen!D69=4,Fragen_Hochschulleitungen!D69=5,Fragen_Hochschulleitungen!D69=6,Fragen_Hochschulleitungen!D69=7,Fragen_Hochschulleitungen!D69=8), "E-Mail-Adresse der Projektleitung", "")</f>
        <v/>
      </c>
      <c r="C45" s="21"/>
      <c r="D45" s="37"/>
      <c r="E45" s="25"/>
    </row>
    <row r="46" spans="1:5" ht="40.200000000000003" customHeight="1" x14ac:dyDescent="0.3">
      <c r="A46" s="51" t="s">
        <v>297</v>
      </c>
      <c r="B46" s="53" t="str">
        <f>IF(OR(Fragen_Hochschulleitungen!D69=4,Fragen_Hochschulleitungen!D69=5,Fragen_Hochschulleitungen!D69=6,Fragen_Hochschulleitungen!D69=7,Fragen_Hochschulleitungen!D69=8), "Titel des geförderten Projekts", "")</f>
        <v/>
      </c>
      <c r="C46" s="21"/>
      <c r="D46" s="37"/>
      <c r="E46" s="25" t="s">
        <v>291</v>
      </c>
    </row>
    <row r="47" spans="1:5" ht="70.2" customHeight="1" x14ac:dyDescent="0.3">
      <c r="A47" s="51" t="s">
        <v>298</v>
      </c>
      <c r="B47" s="53" t="str">
        <f>IF(OR(Fragen_Hochschulleitungen!D69=4,Fragen_Hochschulleitungen!D69=5,Fragen_Hochschulleitungen!D69=6,Fragen_Hochschulleitungen!D69=7,Fragen_Hochschulleitungen!D69=8), "(geplanter) Projektbeginn", "")</f>
        <v/>
      </c>
      <c r="C47" s="21"/>
      <c r="D47" s="35"/>
      <c r="E47" s="25" t="s">
        <v>292</v>
      </c>
    </row>
    <row r="48" spans="1:5" ht="70.2" customHeight="1" x14ac:dyDescent="0.3">
      <c r="A48" s="51" t="s">
        <v>304</v>
      </c>
      <c r="B48" s="53" t="str">
        <f>IF(OR(Fragen_Hochschulleitungen!D69=4,Fragen_Hochschulleitungen!D69=5,Fragen_Hochschulleitungen!D69=6,Fragen_Hochschulleitungen!D69=7,Fragen_Hochschulleitungen!D69=8), "(geplantes) Projektende", "")</f>
        <v/>
      </c>
      <c r="C48" s="21"/>
      <c r="D48" s="35"/>
      <c r="E48" s="25" t="s">
        <v>293</v>
      </c>
    </row>
    <row r="49" spans="1:5" ht="40.200000000000003" customHeight="1" x14ac:dyDescent="0.3">
      <c r="A49" s="51" t="s">
        <v>305</v>
      </c>
      <c r="B49" s="53" t="str">
        <f>IF(OR(Fragen_Hochschulleitungen!D69=4,Fragen_Hochschulleitungen!D69=5,Fragen_Hochschulleitungen!D69=6,Fragen_Hochschulleitungen!D69=7,Fragen_Hochschulleitungen!D69=8), "(geplante) Laufzeit (in Monaten)", "")</f>
        <v/>
      </c>
      <c r="C49" s="21"/>
      <c r="D49" s="48"/>
      <c r="E49" s="25" t="s">
        <v>291</v>
      </c>
    </row>
    <row r="50" spans="1:5" ht="40.200000000000003" customHeight="1" x14ac:dyDescent="0.3">
      <c r="A50" s="51" t="s">
        <v>306</v>
      </c>
      <c r="B50" s="53" t="str">
        <f>IF(OR(Fragen_Hochschulleitungen!D69=4,Fragen_Hochschulleitungen!D69=5,Fragen_Hochschulleitungen!D69=6,Fragen_Hochschulleitungen!D69=7,Fragen_Hochschulleitungen!D69=8), "Zugewiesene (vorgesehene) Mittel für das ausgewählte Projekt", "")</f>
        <v/>
      </c>
      <c r="C50" s="21"/>
      <c r="D50" s="20"/>
      <c r="E50" s="25" t="s">
        <v>291</v>
      </c>
    </row>
    <row r="51" spans="1:5" ht="40.200000000000003" customHeight="1" x14ac:dyDescent="0.3">
      <c r="A51" s="51" t="s">
        <v>307</v>
      </c>
      <c r="B51" s="53" t="str">
        <f>IF(OR(Fragen_Hochschulleitungen!D69=4,Fragen_Hochschulleitungen!D69=5,Fragen_Hochschulleitungen!D69=6,Fragen_Hochschulleitungen!D69=7,Fragen_Hochschulleitungen!D69=8), "Verausgabte Mittel im ausgewählten Projekt (bis zum Stichtag 31.12.2022)", "")</f>
        <v/>
      </c>
      <c r="C51" s="21"/>
      <c r="D51" s="20"/>
      <c r="E51" s="25" t="s">
        <v>291</v>
      </c>
    </row>
    <row r="52" spans="1:5" ht="49.95" customHeight="1" x14ac:dyDescent="0.3">
      <c r="A52" s="51"/>
      <c r="B52" s="52" t="str">
        <f>IF(OR(Fragen_Hochschulleitungen!D69=5,Fragen_Hochschulleitungen!D69=6,Fragen_Hochschulleitungen!D69=7,Fragen_Hochschulleitungen!D69=8), "5. Projekt. Bitte ordnen Sie das Projekt dem Jahr zu.", "")</f>
        <v/>
      </c>
      <c r="C52" s="21"/>
      <c r="D52" s="48"/>
      <c r="E52" s="25" t="s">
        <v>299</v>
      </c>
    </row>
    <row r="53" spans="1:5" ht="49.95" customHeight="1" x14ac:dyDescent="0.3">
      <c r="A53" s="51" t="s">
        <v>308</v>
      </c>
      <c r="B53" s="53" t="str">
        <f>IF(OR(Fragen_Hochschulleitungen!D69=5,Fragen_Hochschulleitungen!D69=6,Fragen_Hochschulleitungen!D69=7,Fragen_Hochschulleitungen!D69=8), "Kontaktdaten der Projektleitung", "")</f>
        <v/>
      </c>
      <c r="C53" s="21"/>
      <c r="D53" s="23"/>
      <c r="E53" s="25" t="s">
        <v>300</v>
      </c>
    </row>
    <row r="54" spans="1:5" ht="40.200000000000003" customHeight="1" x14ac:dyDescent="0.3">
      <c r="A54" s="51" t="s">
        <v>461</v>
      </c>
      <c r="B54" s="54" t="str">
        <f>IF(OR(Fragen_Hochschulleitungen!D69=5,Fragen_Hochschulleitungen!D69=6,Fragen_Hochschulleitungen!D69=7,Fragen_Hochschulleitungen!D69=8), "Nachname der Projektleitung", "")</f>
        <v/>
      </c>
      <c r="C54" s="21"/>
      <c r="D54" s="37"/>
      <c r="E54" s="25"/>
    </row>
    <row r="55" spans="1:5" ht="40.200000000000003" customHeight="1" x14ac:dyDescent="0.3">
      <c r="A55" s="51" t="s">
        <v>462</v>
      </c>
      <c r="B55" s="54" t="str">
        <f>IF(OR(Fragen_Hochschulleitungen!D69=5,Fragen_Hochschulleitungen!D69=6,Fragen_Hochschulleitungen!D69=7,Fragen_Hochschulleitungen!D69=8), "Vorname der Projektleitung", "")</f>
        <v/>
      </c>
      <c r="C55" s="21"/>
      <c r="D55" s="37"/>
      <c r="E55" s="25"/>
    </row>
    <row r="56" spans="1:5" ht="40.200000000000003" customHeight="1" x14ac:dyDescent="0.3">
      <c r="A56" s="51" t="s">
        <v>463</v>
      </c>
      <c r="B56" s="54" t="str">
        <f>IF(OR(Fragen_Hochschulleitungen!D69=5,Fragen_Hochschulleitungen!D69=6,Fragen_Hochschulleitungen!D69=7,Fragen_Hochschulleitungen!D69=8), "ggf. Titel der Projektleitung", "")</f>
        <v/>
      </c>
      <c r="C56" s="21"/>
      <c r="D56" s="37"/>
      <c r="E56" s="25"/>
    </row>
    <row r="57" spans="1:5" ht="40.200000000000003" customHeight="1" x14ac:dyDescent="0.3">
      <c r="A57" s="51" t="s">
        <v>464</v>
      </c>
      <c r="B57" s="54" t="str">
        <f>IF(OR(Fragen_Hochschulleitungen!D69=5,Fragen_Hochschulleitungen!D69=6,Fragen_Hochschulleitungen!D69=7,Fragen_Hochschulleitungen!D69=8), "E-Mail-Adresse der Projektleitung", "")</f>
        <v/>
      </c>
      <c r="C57" s="21"/>
      <c r="D57" s="37"/>
      <c r="E57" s="25"/>
    </row>
    <row r="58" spans="1:5" ht="40.200000000000003" customHeight="1" x14ac:dyDescent="0.3">
      <c r="A58" s="51" t="s">
        <v>314</v>
      </c>
      <c r="B58" s="53" t="str">
        <f>IF(OR(Fragen_Hochschulleitungen!D69=5,Fragen_Hochschulleitungen!D69=6,Fragen_Hochschulleitungen!D69=7,Fragen_Hochschulleitungen!D69=8), "Titel des geförderten Projekts", "")</f>
        <v/>
      </c>
      <c r="C58" s="21"/>
      <c r="D58" s="37"/>
      <c r="E58" s="25" t="s">
        <v>301</v>
      </c>
    </row>
    <row r="59" spans="1:5" ht="70.2" customHeight="1" x14ac:dyDescent="0.3">
      <c r="A59" s="51" t="s">
        <v>315</v>
      </c>
      <c r="B59" s="53" t="str">
        <f>IF(OR(Fragen_Hochschulleitungen!D69=5,Fragen_Hochschulleitungen!D69=6,Fragen_Hochschulleitungen!D69=7,Fragen_Hochschulleitungen!D69=8), "(geplanter) Projektbeginn", "")</f>
        <v/>
      </c>
      <c r="C59" s="21"/>
      <c r="D59" s="35"/>
      <c r="E59" s="25" t="s">
        <v>302</v>
      </c>
    </row>
    <row r="60" spans="1:5" ht="70.2" customHeight="1" x14ac:dyDescent="0.3">
      <c r="A60" s="51" t="s">
        <v>316</v>
      </c>
      <c r="B60" s="53" t="str">
        <f>IF(OR(Fragen_Hochschulleitungen!D69=5,Fragen_Hochschulleitungen!D69=6,Fragen_Hochschulleitungen!D69=7,Fragen_Hochschulleitungen!D69=8), "(geplantes) Projektende", "")</f>
        <v/>
      </c>
      <c r="C60" s="21"/>
      <c r="D60" s="35"/>
      <c r="E60" s="25" t="s">
        <v>303</v>
      </c>
    </row>
    <row r="61" spans="1:5" ht="40.200000000000003" customHeight="1" x14ac:dyDescent="0.3">
      <c r="A61" s="51" t="s">
        <v>317</v>
      </c>
      <c r="B61" s="53" t="str">
        <f>IF(OR(Fragen_Hochschulleitungen!D69=5,Fragen_Hochschulleitungen!D69=6,Fragen_Hochschulleitungen!D69=7,Fragen_Hochschulleitungen!D69=8), "(geplante) Laufzeit (in Monaten)", "")</f>
        <v/>
      </c>
      <c r="C61" s="21"/>
      <c r="D61" s="48"/>
      <c r="E61" s="25" t="s">
        <v>301</v>
      </c>
    </row>
    <row r="62" spans="1:5" ht="40.200000000000003" customHeight="1" x14ac:dyDescent="0.3">
      <c r="A62" s="51" t="s">
        <v>318</v>
      </c>
      <c r="B62" s="53" t="str">
        <f>IF(OR(Fragen_Hochschulleitungen!D69=5,Fragen_Hochschulleitungen!D69=6,Fragen_Hochschulleitungen!D69=7,Fragen_Hochschulleitungen!D69=8), "Zugewiesene (vorgesehene) Mittel für das ausgewählte Projekt", "")</f>
        <v/>
      </c>
      <c r="C62" s="21"/>
      <c r="D62" s="20"/>
      <c r="E62" s="25" t="s">
        <v>301</v>
      </c>
    </row>
    <row r="63" spans="1:5" ht="40.200000000000003" customHeight="1" x14ac:dyDescent="0.3">
      <c r="A63" s="51" t="s">
        <v>324</v>
      </c>
      <c r="B63" s="53" t="str">
        <f>IF(OR(Fragen_Hochschulleitungen!D69=5,Fragen_Hochschulleitungen!D69=6,Fragen_Hochschulleitungen!D69=7,Fragen_Hochschulleitungen!D69=8), "Verausgabte Mittel im ausgewählten Projekt (bis zum Stichtag 31.12.2022)", "")</f>
        <v/>
      </c>
      <c r="C63" s="21"/>
      <c r="D63" s="20"/>
      <c r="E63" s="25" t="s">
        <v>301</v>
      </c>
    </row>
    <row r="64" spans="1:5" ht="49.95" customHeight="1" x14ac:dyDescent="0.3">
      <c r="A64" s="51"/>
      <c r="B64" s="52" t="str">
        <f>IF(OR(Fragen_Hochschulleitungen!D69=6,Fragen_Hochschulleitungen!D69=7,Fragen_Hochschulleitungen!D69=8), "6. Projekt. Bitte ordnen Sie das Projekt dem Jahr zu.", "")</f>
        <v/>
      </c>
      <c r="C64" s="21"/>
      <c r="D64" s="48"/>
      <c r="E64" s="25" t="s">
        <v>309</v>
      </c>
    </row>
    <row r="65" spans="1:5" ht="49.95" customHeight="1" x14ac:dyDescent="0.3">
      <c r="A65" s="51" t="s">
        <v>325</v>
      </c>
      <c r="B65" s="53" t="str">
        <f>IF(OR(Fragen_Hochschulleitungen!D69=6,Fragen_Hochschulleitungen!D69=7,Fragen_Hochschulleitungen!D69=8), "Kontaktdaten der Projektleitung", "")</f>
        <v/>
      </c>
      <c r="C65" s="21"/>
      <c r="D65" s="23"/>
      <c r="E65" s="25" t="s">
        <v>310</v>
      </c>
    </row>
    <row r="66" spans="1:5" ht="40.200000000000003" customHeight="1" x14ac:dyDescent="0.3">
      <c r="A66" s="51" t="s">
        <v>465</v>
      </c>
      <c r="B66" s="54" t="str">
        <f>IF(OR(Fragen_Hochschulleitungen!D69=6,Fragen_Hochschulleitungen!D69=7,Fragen_Hochschulleitungen!D69=8), "Nachname der Projektleitung", "")</f>
        <v/>
      </c>
      <c r="C66" s="21"/>
      <c r="D66" s="37"/>
      <c r="E66" s="25"/>
    </row>
    <row r="67" spans="1:5" ht="40.200000000000003" customHeight="1" x14ac:dyDescent="0.3">
      <c r="A67" s="51" t="s">
        <v>466</v>
      </c>
      <c r="B67" s="54" t="str">
        <f>IF(OR(Fragen_Hochschulleitungen!D69=6,Fragen_Hochschulleitungen!D69=7,Fragen_Hochschulleitungen!D69=8), "Vorname der Projektleitung", "")</f>
        <v/>
      </c>
      <c r="C67" s="21"/>
      <c r="D67" s="37"/>
      <c r="E67" s="25"/>
    </row>
    <row r="68" spans="1:5" ht="40.200000000000003" customHeight="1" x14ac:dyDescent="0.3">
      <c r="A68" s="51" t="s">
        <v>467</v>
      </c>
      <c r="B68" s="54" t="str">
        <f>IF(OR(Fragen_Hochschulleitungen!D69=6,Fragen_Hochschulleitungen!D69=7,Fragen_Hochschulleitungen!D69=8), "ggf. Titel der Projektleitung", "")</f>
        <v/>
      </c>
      <c r="C68" s="21"/>
      <c r="D68" s="37"/>
      <c r="E68" s="25"/>
    </row>
    <row r="69" spans="1:5" ht="40.200000000000003" customHeight="1" x14ac:dyDescent="0.3">
      <c r="A69" s="51" t="s">
        <v>468</v>
      </c>
      <c r="B69" s="54" t="str">
        <f>IF(OR(Fragen_Hochschulleitungen!D69=6,Fragen_Hochschulleitungen!D69=7,Fragen_Hochschulleitungen!D69=8), "E-Mail-Adresse der Projektleitung", "")</f>
        <v/>
      </c>
      <c r="C69" s="21"/>
      <c r="D69" s="37"/>
      <c r="E69" s="25"/>
    </row>
    <row r="70" spans="1:5" ht="40.200000000000003" customHeight="1" x14ac:dyDescent="0.3">
      <c r="A70" s="51" t="s">
        <v>326</v>
      </c>
      <c r="B70" s="53" t="str">
        <f>IF(OR(Fragen_Hochschulleitungen!D69=6,Fragen_Hochschulleitungen!D69=7,Fragen_Hochschulleitungen!D69=8), "Titel des geförderten Projekts", "")</f>
        <v/>
      </c>
      <c r="C70" s="21"/>
      <c r="D70" s="37"/>
      <c r="E70" s="25" t="s">
        <v>311</v>
      </c>
    </row>
    <row r="71" spans="1:5" ht="70.2" customHeight="1" x14ac:dyDescent="0.3">
      <c r="A71" s="51" t="s">
        <v>327</v>
      </c>
      <c r="B71" s="53" t="str">
        <f>IF(OR(Fragen_Hochschulleitungen!D69=6,Fragen_Hochschulleitungen!D69=7,Fragen_Hochschulleitungen!D69=8), "(geplanter) Projektbeginn", "")</f>
        <v/>
      </c>
      <c r="C71" s="21"/>
      <c r="D71" s="35"/>
      <c r="E71" s="25" t="s">
        <v>312</v>
      </c>
    </row>
    <row r="72" spans="1:5" ht="70.2" customHeight="1" x14ac:dyDescent="0.3">
      <c r="A72" s="51" t="s">
        <v>328</v>
      </c>
      <c r="B72" s="53" t="str">
        <f>IF(OR(Fragen_Hochschulleitungen!D69=6,Fragen_Hochschulleitungen!D69=7,Fragen_Hochschulleitungen!D69=8), "(geplantes) Projektende", "")</f>
        <v/>
      </c>
      <c r="C72" s="21"/>
      <c r="D72" s="35"/>
      <c r="E72" s="25" t="s">
        <v>313</v>
      </c>
    </row>
    <row r="73" spans="1:5" ht="40.200000000000003" customHeight="1" x14ac:dyDescent="0.3">
      <c r="A73" s="51" t="s">
        <v>329</v>
      </c>
      <c r="B73" s="53" t="str">
        <f>IF(OR(Fragen_Hochschulleitungen!D69=6,Fragen_Hochschulleitungen!D69=7,Fragen_Hochschulleitungen!D69=8), "(geplante) Laufzeit (in Monaten)", "")</f>
        <v/>
      </c>
      <c r="C73" s="21"/>
      <c r="D73" s="48"/>
      <c r="E73" s="25" t="s">
        <v>311</v>
      </c>
    </row>
    <row r="74" spans="1:5" ht="40.200000000000003" customHeight="1" x14ac:dyDescent="0.3">
      <c r="A74" s="51" t="s">
        <v>335</v>
      </c>
      <c r="B74" s="53" t="str">
        <f>IF(OR(Fragen_Hochschulleitungen!D69=6,Fragen_Hochschulleitungen!D69=7,Fragen_Hochschulleitungen!D69=8), "Zugewiesene (vorgesehene) Mittel für das ausgewählte Projekt", "")</f>
        <v/>
      </c>
      <c r="C74" s="21"/>
      <c r="D74" s="20"/>
      <c r="E74" s="25" t="s">
        <v>311</v>
      </c>
    </row>
    <row r="75" spans="1:5" ht="40.200000000000003" customHeight="1" x14ac:dyDescent="0.3">
      <c r="A75" s="51" t="s">
        <v>336</v>
      </c>
      <c r="B75" s="53" t="str">
        <f>IF(OR(Fragen_Hochschulleitungen!D69=6,Fragen_Hochschulleitungen!D69=7,Fragen_Hochschulleitungen!D69=8), "Verausgabte Mittel im ausgewählten Projekt (bis zum Stichtag 31.12.2022)", "")</f>
        <v/>
      </c>
      <c r="C75" s="21"/>
      <c r="D75" s="20"/>
      <c r="E75" s="25" t="s">
        <v>311</v>
      </c>
    </row>
    <row r="76" spans="1:5" ht="49.95" customHeight="1" x14ac:dyDescent="0.3">
      <c r="A76" s="51"/>
      <c r="B76" s="52" t="str">
        <f>IF(OR(Fragen_Hochschulleitungen!D69=7,Fragen_Hochschulleitungen!D69=8), "7. Projekt. Bitte ordnen Sie das Projekt dem Jahr zu.", "")</f>
        <v/>
      </c>
      <c r="C76" s="21"/>
      <c r="D76" s="59"/>
      <c r="E76" s="25" t="s">
        <v>319</v>
      </c>
    </row>
    <row r="77" spans="1:5" ht="49.95" customHeight="1" x14ac:dyDescent="0.3">
      <c r="A77" s="51" t="s">
        <v>337</v>
      </c>
      <c r="B77" s="53" t="str">
        <f>IF(OR(Fragen_Hochschulleitungen!D69=7,Fragen_Hochschulleitungen!D69=8), "Kontaktdaten der Projektleitung", "")</f>
        <v/>
      </c>
      <c r="C77" s="21"/>
      <c r="D77" s="23"/>
      <c r="E77" s="25" t="s">
        <v>320</v>
      </c>
    </row>
    <row r="78" spans="1:5" ht="40.200000000000003" customHeight="1" x14ac:dyDescent="0.3">
      <c r="A78" s="51" t="s">
        <v>343</v>
      </c>
      <c r="B78" s="54" t="str">
        <f>IF(OR(Fragen_Hochschulleitungen!D69=7,Fragen_Hochschulleitungen!D69=8), "Nachname der Projektleitung", "")</f>
        <v/>
      </c>
      <c r="C78" s="21"/>
      <c r="D78" s="37"/>
      <c r="E78" s="25"/>
    </row>
    <row r="79" spans="1:5" ht="40.200000000000003" customHeight="1" x14ac:dyDescent="0.3">
      <c r="A79" s="51" t="s">
        <v>344</v>
      </c>
      <c r="B79" s="54" t="str">
        <f>IF(OR(Fragen_Hochschulleitungen!D69=7,Fragen_Hochschulleitungen!D69=8), "Vorname der Projektleitung", "")</f>
        <v/>
      </c>
      <c r="C79" s="21"/>
      <c r="D79" s="37"/>
      <c r="E79" s="25"/>
    </row>
    <row r="80" spans="1:5" ht="40.200000000000003" customHeight="1" x14ac:dyDescent="0.3">
      <c r="A80" s="51" t="s">
        <v>345</v>
      </c>
      <c r="B80" s="54" t="str">
        <f>IF(OR(Fragen_Hochschulleitungen!D69=7,Fragen_Hochschulleitungen!D69=8), "ggf. Titel der Projektleitung", "")</f>
        <v/>
      </c>
      <c r="C80" s="21"/>
      <c r="D80" s="37"/>
      <c r="E80" s="25"/>
    </row>
    <row r="81" spans="1:5" ht="40.200000000000003" customHeight="1" x14ac:dyDescent="0.3">
      <c r="A81" s="51" t="s">
        <v>346</v>
      </c>
      <c r="B81" s="54" t="str">
        <f>IF(OR(Fragen_Hochschulleitungen!D69=7,Fragen_Hochschulleitungen!D69=8), "E-Mail-Adresse der Projektleitung", "")</f>
        <v/>
      </c>
      <c r="C81" s="21"/>
      <c r="D81" s="37"/>
      <c r="E81" s="25"/>
    </row>
    <row r="82" spans="1:5" ht="40.200000000000003" customHeight="1" x14ac:dyDescent="0.3">
      <c r="A82" s="51" t="s">
        <v>338</v>
      </c>
      <c r="B82" s="53" t="str">
        <f>IF(OR(Fragen_Hochschulleitungen!D69=7,Fragen_Hochschulleitungen!D69=8), "Titel des geförderten Projekts", "")</f>
        <v/>
      </c>
      <c r="C82" s="21"/>
      <c r="D82" s="37"/>
      <c r="E82" s="25" t="s">
        <v>321</v>
      </c>
    </row>
    <row r="83" spans="1:5" ht="70.2" customHeight="1" x14ac:dyDescent="0.3">
      <c r="A83" s="51" t="s">
        <v>339</v>
      </c>
      <c r="B83" s="53" t="str">
        <f>IF(OR(Fragen_Hochschulleitungen!D69=7,Fragen_Hochschulleitungen!D69=8), "(geplanter) Projektbeginn", "")</f>
        <v/>
      </c>
      <c r="C83" s="21"/>
      <c r="D83" s="35"/>
      <c r="E83" s="25" t="s">
        <v>322</v>
      </c>
    </row>
    <row r="84" spans="1:5" ht="70.2" customHeight="1" x14ac:dyDescent="0.3">
      <c r="A84" s="51" t="s">
        <v>340</v>
      </c>
      <c r="B84" s="53" t="str">
        <f>IF(OR(Fragen_Hochschulleitungen!D69=7,Fragen_Hochschulleitungen!D69=8), "(geplantes) Projektende", "")</f>
        <v/>
      </c>
      <c r="C84" s="21"/>
      <c r="D84" s="35"/>
      <c r="E84" s="25" t="s">
        <v>323</v>
      </c>
    </row>
    <row r="85" spans="1:5" ht="40.200000000000003" customHeight="1" x14ac:dyDescent="0.3">
      <c r="A85" s="51" t="s">
        <v>341</v>
      </c>
      <c r="B85" s="53" t="str">
        <f>IF(OR(Fragen_Hochschulleitungen!D69=7,Fragen_Hochschulleitungen!D69=8), "(geplante) Laufzeit (in Monaten)", "")</f>
        <v/>
      </c>
      <c r="C85" s="21"/>
      <c r="D85" s="48"/>
      <c r="E85" s="25" t="s">
        <v>321</v>
      </c>
    </row>
    <row r="86" spans="1:5" ht="40.200000000000003" customHeight="1" x14ac:dyDescent="0.3">
      <c r="A86" s="51" t="s">
        <v>347</v>
      </c>
      <c r="B86" s="53" t="str">
        <f>IF(OR(Fragen_Hochschulleitungen!D69=7,Fragen_Hochschulleitungen!D69=8), "Zugewiesene (vorgesehene) Mittel für das ausgewählte Projekt", "")</f>
        <v/>
      </c>
      <c r="C86" s="21"/>
      <c r="D86" s="20"/>
      <c r="E86" s="25" t="s">
        <v>321</v>
      </c>
    </row>
    <row r="87" spans="1:5" ht="40.200000000000003" customHeight="1" x14ac:dyDescent="0.3">
      <c r="A87" s="51" t="s">
        <v>348</v>
      </c>
      <c r="B87" s="53" t="str">
        <f>IF(OR(Fragen_Hochschulleitungen!D69=7,Fragen_Hochschulleitungen!D69=8), "Verausgabte Mittel im ausgewählten Projekt (bis zum Stichtag 31.12.2022)", "")</f>
        <v/>
      </c>
      <c r="C87" s="21"/>
      <c r="D87" s="20"/>
      <c r="E87" s="25" t="s">
        <v>321</v>
      </c>
    </row>
    <row r="88" spans="1:5" ht="49.95" customHeight="1" x14ac:dyDescent="0.3">
      <c r="A88" s="51"/>
      <c r="B88" s="52" t="str">
        <f>IF(Fragen_Hochschulleitungen!D69=8, "8. Projekt. Bitte ordnen Sie das Projekt dem Jahr zu.", "")</f>
        <v/>
      </c>
      <c r="C88" s="21"/>
      <c r="D88" s="48"/>
      <c r="E88" s="25" t="s">
        <v>330</v>
      </c>
    </row>
    <row r="89" spans="1:5" ht="49.95" customHeight="1" x14ac:dyDescent="0.3">
      <c r="A89" s="51" t="s">
        <v>469</v>
      </c>
      <c r="B89" s="53" t="str">
        <f>IF(Fragen_Hochschulleitungen!D69=8, "Kontaktdaten der Projektleitung", "")</f>
        <v/>
      </c>
      <c r="C89" s="21"/>
      <c r="D89" s="23"/>
      <c r="E89" s="25" t="s">
        <v>331</v>
      </c>
    </row>
    <row r="90" spans="1:5" ht="40.200000000000003" customHeight="1" x14ac:dyDescent="0.3">
      <c r="A90" s="51" t="s">
        <v>470</v>
      </c>
      <c r="B90" s="54" t="str">
        <f>IF(Fragen_Hochschulleitungen!D69=8, "Nachname der Projektleitung", "")</f>
        <v/>
      </c>
      <c r="C90" s="21"/>
      <c r="D90" s="37"/>
      <c r="E90" s="25"/>
    </row>
    <row r="91" spans="1:5" ht="40.200000000000003" customHeight="1" x14ac:dyDescent="0.3">
      <c r="A91" s="51" t="s">
        <v>471</v>
      </c>
      <c r="B91" s="54" t="str">
        <f>IF(Fragen_Hochschulleitungen!D69=8, "Vorname der Projektleitung", "")</f>
        <v/>
      </c>
      <c r="C91" s="21"/>
      <c r="D91" s="37"/>
      <c r="E91" s="25"/>
    </row>
    <row r="92" spans="1:5" ht="40.200000000000003" customHeight="1" x14ac:dyDescent="0.3">
      <c r="A92" s="51" t="s">
        <v>472</v>
      </c>
      <c r="B92" s="54" t="str">
        <f>IF(Fragen_Hochschulleitungen!D69=8, "ggf. Titel der Projektleitung", "")</f>
        <v/>
      </c>
      <c r="C92" s="21"/>
      <c r="D92" s="37"/>
      <c r="E92" s="25"/>
    </row>
    <row r="93" spans="1:5" ht="40.200000000000003" customHeight="1" x14ac:dyDescent="0.3">
      <c r="A93" s="51" t="s">
        <v>473</v>
      </c>
      <c r="B93" s="54" t="str">
        <f>IF(Fragen_Hochschulleitungen!D69=8, "E-Mail-Adresse der Projektleitung", "")</f>
        <v/>
      </c>
      <c r="C93" s="21"/>
      <c r="D93" s="37"/>
      <c r="E93" s="25"/>
    </row>
    <row r="94" spans="1:5" ht="40.200000000000003" customHeight="1" x14ac:dyDescent="0.3">
      <c r="A94" s="51" t="s">
        <v>474</v>
      </c>
      <c r="B94" s="53" t="str">
        <f>IF(Fragen_Hochschulleitungen!D69=8, "Titel des geförderten Projekts", "")</f>
        <v/>
      </c>
      <c r="C94" s="21"/>
      <c r="D94" s="37"/>
      <c r="E94" s="25" t="s">
        <v>332</v>
      </c>
    </row>
    <row r="95" spans="1:5" ht="70.2" customHeight="1" x14ac:dyDescent="0.3">
      <c r="A95" s="51" t="s">
        <v>475</v>
      </c>
      <c r="B95" s="53" t="str">
        <f>IF(Fragen_Hochschulleitungen!D69=8, "(geplanter) Projektbeginn", "")</f>
        <v/>
      </c>
      <c r="C95" s="21"/>
      <c r="D95" s="35"/>
      <c r="E95" s="25" t="s">
        <v>333</v>
      </c>
    </row>
    <row r="96" spans="1:5" ht="70.2" customHeight="1" x14ac:dyDescent="0.3">
      <c r="A96" s="51" t="s">
        <v>476</v>
      </c>
      <c r="B96" s="53" t="str">
        <f>IF(Fragen_Hochschulleitungen!D69=8, "(geplantes) Projektende", "")</f>
        <v/>
      </c>
      <c r="C96" s="21"/>
      <c r="D96" s="35"/>
      <c r="E96" s="25" t="s">
        <v>334</v>
      </c>
    </row>
    <row r="97" spans="1:5" ht="40.200000000000003" customHeight="1" x14ac:dyDescent="0.3">
      <c r="A97" s="51" t="s">
        <v>445</v>
      </c>
      <c r="B97" s="53" t="str">
        <f>IF(Fragen_Hochschulleitungen!D69=8, "(geplante) Laufzeit (in Monaten)", "")</f>
        <v/>
      </c>
      <c r="C97" s="21"/>
      <c r="D97" s="48"/>
      <c r="E97" s="25" t="s">
        <v>332</v>
      </c>
    </row>
    <row r="98" spans="1:5" ht="40.200000000000003" customHeight="1" x14ac:dyDescent="0.3">
      <c r="A98" s="51" t="s">
        <v>477</v>
      </c>
      <c r="B98" s="53" t="str">
        <f>IF(Fragen_Hochschulleitungen!D69=8, "Zugewiesene (vorgesehene) Mittel für das ausgewählte Projekt", "")</f>
        <v/>
      </c>
      <c r="C98" s="21"/>
      <c r="D98" s="20"/>
      <c r="E98" s="25" t="s">
        <v>332</v>
      </c>
    </row>
    <row r="99" spans="1:5" ht="40.200000000000003" customHeight="1" x14ac:dyDescent="0.3">
      <c r="A99" s="51" t="s">
        <v>478</v>
      </c>
      <c r="B99" s="53" t="str">
        <f>IF(Fragen_Hochschulleitungen!D69=8, "Verausgabte Mittel im ausgewählten Projekt (bis zum Stichtag 31.12.2022)", "")</f>
        <v/>
      </c>
      <c r="C99" s="21"/>
      <c r="D99" s="20"/>
      <c r="E99" s="25" t="s">
        <v>332</v>
      </c>
    </row>
    <row r="100" spans="1:5" x14ac:dyDescent="0.3">
      <c r="A100" s="53"/>
      <c r="B100" s="53"/>
      <c r="C100" s="53"/>
      <c r="D100" s="53"/>
      <c r="E100" s="53"/>
    </row>
  </sheetData>
  <sheetProtection algorithmName="SHA-512" hashValue="SI4J1jo2Q7dbVA0pTzntttiIIQmEDNRtA8zS5OjaSdGtxcWgUWEsLzhiA+01L2ftinnhpmj8k94Guo0QHB2wWA==" saltValue="KRKkQ7+Oayt8pJZJ5sWGpg==" spinCount="100000" sheet="1" objects="1" scenarios="1"/>
  <mergeCells count="1">
    <mergeCell ref="D1:E1"/>
  </mergeCells>
  <pageMargins left="0.7" right="0.7" top="0.78740157499999996" bottom="0.78740157499999996" header="0.3" footer="0.3"/>
  <pageSetup paperSize="9" orientation="portrait" r:id="rId1"/>
  <ignoredErrors>
    <ignoredError sqref="A5" twoDigitTextYear="1"/>
  </ignoredErrors>
  <extLst>
    <ext xmlns:x14="http://schemas.microsoft.com/office/spreadsheetml/2009/9/main" uri="{CCE6A557-97BC-4b89-ADB6-D9C93CAAB3DF}">
      <x14:dataValidations xmlns:xm="http://schemas.microsoft.com/office/excel/2006/main" count="8">
        <x14:dataValidation type="list" allowBlank="1" showInputMessage="1" showErrorMessage="1" xr:uid="{F7D9C5CE-DC3F-4114-85C2-B6904B2A067D}">
          <x14:formula1>
            <xm:f>(IF(OR(D3=1,D3=2, D3=3,D3=4,D3=5,D3=6,D3=7,D3=8),Listen!$M$2:$M$5))</xm:f>
          </x14:formula1>
          <xm:sqref>D4</xm:sqref>
        </x14:dataValidation>
        <x14:dataValidation type="list" allowBlank="1" showInputMessage="1" showErrorMessage="1" xr:uid="{D7F226B5-D2D8-4E30-8C0C-8C30F481353C}">
          <x14:formula1>
            <xm:f>(IF(OR(D3=4,D3=5,D3=6,D3=7,D3=8),Listen!$M$2:$M$5))</xm:f>
          </x14:formula1>
          <xm:sqref>D40</xm:sqref>
        </x14:dataValidation>
        <x14:dataValidation type="list" allowBlank="1" showInputMessage="1" showErrorMessage="1" xr:uid="{B27D17D3-EA3E-40E4-B4B1-23B23241C723}">
          <x14:formula1>
            <xm:f>(IF(OR(D3=3,D3=4,D3=5,D3=6,D3=7,D3=8),Listen!$M$2:$M$5))</xm:f>
          </x14:formula1>
          <xm:sqref>D28</xm:sqref>
        </x14:dataValidation>
        <x14:dataValidation type="list" allowBlank="1" showInputMessage="1" showErrorMessage="1" xr:uid="{C0B2156E-4E30-4265-8D00-FC0AA8C9A384}">
          <x14:formula1>
            <xm:f>(IF(OR(D3=2, D3=3,D3=4,D3=5,D3=6,D3=7,D3=8),Listen!$M$2:$M$5))</xm:f>
          </x14:formula1>
          <xm:sqref>D16</xm:sqref>
        </x14:dataValidation>
        <x14:dataValidation type="list" allowBlank="1" showInputMessage="1" showErrorMessage="1" xr:uid="{173EB78D-438F-474B-8AE5-DAB183E8EB0A}">
          <x14:formula1>
            <xm:f>(IF(OR(D3=5,D3=6,D3=7,D3=8),Listen!$M$2:$M$5))</xm:f>
          </x14:formula1>
          <xm:sqref>D52</xm:sqref>
        </x14:dataValidation>
        <x14:dataValidation type="list" allowBlank="1" showInputMessage="1" showErrorMessage="1" xr:uid="{A0DE1BE4-F766-4909-B62A-320220A1392B}">
          <x14:formula1>
            <xm:f>(IF(OR(D3=6,D3=7,D3=8),Listen!$M$2:$M$5))</xm:f>
          </x14:formula1>
          <xm:sqref>D64</xm:sqref>
        </x14:dataValidation>
        <x14:dataValidation type="list" allowBlank="1" showInputMessage="1" showErrorMessage="1" xr:uid="{120A125C-E0FB-4D74-A14D-E73BEDB8A219}">
          <x14:formula1>
            <xm:f>(IF(OR(D3=7,D3=8),Listen!$M$2:$M$5))</xm:f>
          </x14:formula1>
          <xm:sqref>D76</xm:sqref>
        </x14:dataValidation>
        <x14:dataValidation type="list" allowBlank="1" showInputMessage="1" showErrorMessage="1" xr:uid="{C87D8484-A09B-4DE5-8571-CA5F0CA83442}">
          <x14:formula1>
            <xm:f>(IF(D3=8,Listen!$M$2:$M$5))</xm:f>
          </x14:formula1>
          <xm:sqref>D88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9D7E2-6A1E-4C32-9024-D0CF02707F2B}">
  <sheetPr codeName="Tabelle11"/>
  <dimension ref="A1:O38"/>
  <sheetViews>
    <sheetView topLeftCell="D1" workbookViewId="0">
      <selection activeCell="F7" sqref="F7"/>
    </sheetView>
  </sheetViews>
  <sheetFormatPr baseColWidth="10" defaultRowHeight="14.4" x14ac:dyDescent="0.3"/>
  <cols>
    <col min="1" max="1" width="29.33203125" style="2" customWidth="1"/>
    <col min="3" max="3" width="27.33203125" style="3" customWidth="1"/>
    <col min="5" max="5" width="21.5546875" customWidth="1"/>
    <col min="7" max="7" width="35" customWidth="1"/>
    <col min="9" max="9" width="18.5546875" customWidth="1"/>
    <col min="11" max="11" width="21.5546875" style="15" customWidth="1"/>
    <col min="13" max="13" width="30.88671875" customWidth="1"/>
    <col min="15" max="15" width="26.109375" customWidth="1"/>
  </cols>
  <sheetData>
    <row r="1" spans="1:15" x14ac:dyDescent="0.3">
      <c r="A1" s="2" t="s">
        <v>125</v>
      </c>
      <c r="C1" s="3" t="s">
        <v>124</v>
      </c>
      <c r="E1" s="13" t="s">
        <v>170</v>
      </c>
      <c r="G1" s="9" t="s">
        <v>178</v>
      </c>
      <c r="I1" t="s">
        <v>183</v>
      </c>
      <c r="K1" s="15" t="s">
        <v>34</v>
      </c>
      <c r="M1" t="s">
        <v>223</v>
      </c>
      <c r="O1" s="15" t="s">
        <v>389</v>
      </c>
    </row>
    <row r="2" spans="1:15" ht="28.8" x14ac:dyDescent="0.3">
      <c r="A2" s="1" t="s">
        <v>75</v>
      </c>
      <c r="C2" s="1" t="s">
        <v>84</v>
      </c>
      <c r="E2" s="11" t="s">
        <v>171</v>
      </c>
      <c r="G2" s="7" t="s">
        <v>171</v>
      </c>
      <c r="I2">
        <v>1</v>
      </c>
      <c r="K2" s="15" t="s">
        <v>171</v>
      </c>
      <c r="M2">
        <v>2020</v>
      </c>
      <c r="O2" s="15" t="s">
        <v>390</v>
      </c>
    </row>
    <row r="3" spans="1:15" x14ac:dyDescent="0.3">
      <c r="A3" s="1" t="s">
        <v>81</v>
      </c>
      <c r="C3" s="1" t="s">
        <v>106</v>
      </c>
      <c r="E3" s="12" t="s">
        <v>172</v>
      </c>
      <c r="G3" s="8" t="s">
        <v>172</v>
      </c>
      <c r="I3">
        <v>2</v>
      </c>
      <c r="K3" s="15" t="s">
        <v>172</v>
      </c>
      <c r="M3">
        <v>2021</v>
      </c>
      <c r="O3" s="15" t="s">
        <v>391</v>
      </c>
    </row>
    <row r="4" spans="1:15" ht="57.6" x14ac:dyDescent="0.3">
      <c r="A4" s="1" t="s">
        <v>79</v>
      </c>
      <c r="C4" s="1" t="s">
        <v>107</v>
      </c>
      <c r="E4" s="14"/>
      <c r="G4" s="10" t="s">
        <v>179</v>
      </c>
      <c r="I4">
        <v>3</v>
      </c>
      <c r="K4" s="15" t="s">
        <v>185</v>
      </c>
      <c r="M4">
        <v>2022</v>
      </c>
      <c r="O4" s="15" t="s">
        <v>392</v>
      </c>
    </row>
    <row r="5" spans="1:15" x14ac:dyDescent="0.3">
      <c r="A5" s="1" t="s">
        <v>204</v>
      </c>
      <c r="C5" s="1" t="s">
        <v>108</v>
      </c>
      <c r="I5">
        <v>4</v>
      </c>
      <c r="M5">
        <v>2023</v>
      </c>
      <c r="O5" s="15" t="s">
        <v>393</v>
      </c>
    </row>
    <row r="6" spans="1:15" ht="28.8" x14ac:dyDescent="0.3">
      <c r="A6" s="1" t="s">
        <v>71</v>
      </c>
      <c r="C6" s="1" t="s">
        <v>85</v>
      </c>
      <c r="I6">
        <v>5</v>
      </c>
      <c r="O6" s="15" t="s">
        <v>394</v>
      </c>
    </row>
    <row r="7" spans="1:15" ht="43.2" x14ac:dyDescent="0.3">
      <c r="A7" s="1" t="s">
        <v>78</v>
      </c>
      <c r="C7" s="1" t="s">
        <v>86</v>
      </c>
      <c r="O7" s="15" t="s">
        <v>489</v>
      </c>
    </row>
    <row r="8" spans="1:15" x14ac:dyDescent="0.3">
      <c r="A8" s="1" t="s">
        <v>73</v>
      </c>
      <c r="C8" s="1" t="s">
        <v>109</v>
      </c>
    </row>
    <row r="9" spans="1:15" x14ac:dyDescent="0.3">
      <c r="A9" s="1" t="s">
        <v>72</v>
      </c>
      <c r="C9" s="1" t="s">
        <v>110</v>
      </c>
    </row>
    <row r="10" spans="1:15" x14ac:dyDescent="0.3">
      <c r="A10" s="1" t="s">
        <v>77</v>
      </c>
      <c r="C10" s="1" t="s">
        <v>99</v>
      </c>
    </row>
    <row r="11" spans="1:15" ht="28.8" x14ac:dyDescent="0.3">
      <c r="A11" s="1" t="s">
        <v>70</v>
      </c>
      <c r="C11" s="1" t="s">
        <v>111</v>
      </c>
    </row>
    <row r="12" spans="1:15" ht="28.8" x14ac:dyDescent="0.3">
      <c r="A12" s="1" t="s">
        <v>83</v>
      </c>
      <c r="C12" s="1" t="s">
        <v>87</v>
      </c>
    </row>
    <row r="13" spans="1:15" x14ac:dyDescent="0.3">
      <c r="A13" s="1" t="s">
        <v>76</v>
      </c>
      <c r="C13" s="1" t="s">
        <v>88</v>
      </c>
    </row>
    <row r="14" spans="1:15" ht="43.2" x14ac:dyDescent="0.3">
      <c r="A14" s="1" t="s">
        <v>74</v>
      </c>
      <c r="C14" s="1" t="s">
        <v>112</v>
      </c>
    </row>
    <row r="15" spans="1:15" ht="28.8" x14ac:dyDescent="0.3">
      <c r="A15" s="1" t="s">
        <v>80</v>
      </c>
      <c r="C15" s="1" t="s">
        <v>113</v>
      </c>
    </row>
    <row r="16" spans="1:15" ht="28.8" x14ac:dyDescent="0.3">
      <c r="A16" s="1" t="s">
        <v>69</v>
      </c>
      <c r="C16" s="1" t="s">
        <v>100</v>
      </c>
    </row>
    <row r="17" spans="1:3" ht="28.8" x14ac:dyDescent="0.3">
      <c r="A17" s="1" t="s">
        <v>82</v>
      </c>
      <c r="C17" s="1" t="s">
        <v>101</v>
      </c>
    </row>
    <row r="18" spans="1:3" x14ac:dyDescent="0.3">
      <c r="C18" s="1" t="s">
        <v>114</v>
      </c>
    </row>
    <row r="19" spans="1:3" x14ac:dyDescent="0.3">
      <c r="C19" s="1" t="s">
        <v>115</v>
      </c>
    </row>
    <row r="20" spans="1:3" x14ac:dyDescent="0.3">
      <c r="C20" s="1" t="s">
        <v>89</v>
      </c>
    </row>
    <row r="21" spans="1:3" x14ac:dyDescent="0.3">
      <c r="C21" s="1" t="s">
        <v>116</v>
      </c>
    </row>
    <row r="22" spans="1:3" x14ac:dyDescent="0.3">
      <c r="C22" s="1" t="s">
        <v>102</v>
      </c>
    </row>
    <row r="23" spans="1:3" x14ac:dyDescent="0.3">
      <c r="C23" s="1" t="s">
        <v>103</v>
      </c>
    </row>
    <row r="24" spans="1:3" ht="28.8" x14ac:dyDescent="0.3">
      <c r="C24" s="1" t="s">
        <v>104</v>
      </c>
    </row>
    <row r="25" spans="1:3" ht="28.8" x14ac:dyDescent="0.3">
      <c r="C25" s="1" t="s">
        <v>90</v>
      </c>
    </row>
    <row r="26" spans="1:3" ht="28.8" x14ac:dyDescent="0.3">
      <c r="C26" s="1" t="s">
        <v>105</v>
      </c>
    </row>
    <row r="27" spans="1:3" x14ac:dyDescent="0.3">
      <c r="C27" s="1" t="s">
        <v>91</v>
      </c>
    </row>
    <row r="28" spans="1:3" x14ac:dyDescent="0.3">
      <c r="C28" s="1" t="s">
        <v>92</v>
      </c>
    </row>
    <row r="29" spans="1:3" x14ac:dyDescent="0.3">
      <c r="C29" s="1" t="s">
        <v>93</v>
      </c>
    </row>
    <row r="30" spans="1:3" ht="28.8" x14ac:dyDescent="0.3">
      <c r="C30" s="1" t="s">
        <v>94</v>
      </c>
    </row>
    <row r="31" spans="1:3" ht="28.8" x14ac:dyDescent="0.3">
      <c r="C31" s="1" t="s">
        <v>117</v>
      </c>
    </row>
    <row r="32" spans="1:3" x14ac:dyDescent="0.3">
      <c r="C32" s="1" t="s">
        <v>95</v>
      </c>
    </row>
    <row r="33" spans="3:3" x14ac:dyDescent="0.3">
      <c r="C33" s="1" t="s">
        <v>118</v>
      </c>
    </row>
    <row r="34" spans="3:3" x14ac:dyDescent="0.3">
      <c r="C34" s="1" t="s">
        <v>119</v>
      </c>
    </row>
    <row r="35" spans="3:3" x14ac:dyDescent="0.3">
      <c r="C35" s="1" t="s">
        <v>96</v>
      </c>
    </row>
    <row r="36" spans="3:3" x14ac:dyDescent="0.3">
      <c r="C36" s="1" t="s">
        <v>97</v>
      </c>
    </row>
    <row r="37" spans="3:3" ht="28.8" x14ac:dyDescent="0.3">
      <c r="C37" s="1" t="s">
        <v>120</v>
      </c>
    </row>
    <row r="38" spans="3:3" ht="28.8" x14ac:dyDescent="0.3">
      <c r="C38" s="1" t="s">
        <v>98</v>
      </c>
    </row>
  </sheetData>
  <sheetProtection algorithmName="SHA-512" hashValue="LT8MDCW3eJVzlI7oaxC8DQ7zNxpNZkrSKLh5k7FJKx4WGKTk79+t34r3QTctNZobBvYvpK8KvxUhrOQ49EhFfQ==" saltValue="60GoQAdnmr548nZzcL66+g==" spinCount="100000" sheet="1" objects="1" scenarios="1"/>
  <pageMargins left="0.7" right="0.7" top="0.78740157499999996" bottom="0.78740157499999996" header="0.3" footer="0.3"/>
  <pageSetup paperSize="9" orientation="portrait" r:id="rId1"/>
  <tableParts count="8">
    <tablePart r:id="rId2"/>
    <tablePart r:id="rId3"/>
    <tablePart r:id="rId4"/>
    <tablePart r:id="rId5"/>
    <tablePart r:id="rId6"/>
    <tablePart r:id="rId7"/>
    <tablePart r:id="rId8"/>
    <tablePart r:id="rId9"/>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Fragen_Hochschulleitungen</vt:lpstr>
      <vt:lpstr>digiFellows</vt:lpstr>
      <vt:lpstr>Curriculum</vt:lpstr>
      <vt:lpstr>Listen</vt:lpstr>
    </vt:vector>
  </TitlesOfParts>
  <Company>FernUniversität in Hagen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Schöttler, Tobias</dc:creator>
  <cp:lastModifiedBy>Schöttler, Tobias</cp:lastModifiedBy>
  <dcterms:created xsi:type="dcterms:W3CDTF">2021-11-02T07:31:57Z</dcterms:created>
  <dcterms:modified xsi:type="dcterms:W3CDTF">2023-11-30T13:49:43Z</dcterms:modified>
</cp:coreProperties>
</file>